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rawtec.sharepoint.com/Current Projects/GISA Kerbside Sustainable Service BPG/06 Reports &amp; Outputs/07 Final/"/>
    </mc:Choice>
  </mc:AlternateContent>
  <xr:revisionPtr revIDLastSave="3" documentId="8_{20233665-DBC9-4C61-8117-2744FD816B6A}" xr6:coauthVersionLast="47" xr6:coauthVersionMax="47" xr10:uidLastSave="{C75F3501-719F-4132-B4D0-04E41D70A03E}"/>
  <workbookProtection workbookAlgorithmName="SHA-512" workbookHashValue="XFvnasA5QMf0CLk6TWyqou/4/87wzoS9Wgasd80NzhuCiuFoxnFykjtRBKrtJYJUrOnLh+t+C6YNKG0kJVP0QQ==" workbookSaltValue="LI0tdvHVAOh4A9QmuU9Phw==" workbookSpinCount="100000" lockStructure="1"/>
  <bookViews>
    <workbookView xWindow="28680" yWindow="-120" windowWidth="29040" windowHeight="15720" xr2:uid="{D2D4DA80-9802-42FD-9633-090F68587BC6}"/>
  </bookViews>
  <sheets>
    <sheet name="Introduction" sheetId="2" r:id="rId1"/>
    <sheet name="Inputs &amp; Values" sheetId="42" r:id="rId2"/>
    <sheet name="Sustainable Kerbside Model" sheetId="38" r:id="rId3"/>
    <sheet name="Modelling Summary" sheetId="33" r:id="rId4"/>
    <sheet name="Model Template" sheetId="28"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1" i="38" l="1"/>
  <c r="C29" i="42"/>
  <c r="C28" i="42"/>
  <c r="C27" i="42"/>
  <c r="C101" i="38" l="1"/>
  <c r="D6" i="33" l="1"/>
  <c r="D7" i="33"/>
  <c r="D5" i="33"/>
  <c r="C110" i="38"/>
  <c r="E42" i="33" s="1"/>
  <c r="C107" i="38"/>
  <c r="C108" i="38"/>
  <c r="C109" i="38"/>
  <c r="C106" i="38"/>
  <c r="C111" i="38" l="1"/>
  <c r="C112" i="38" s="1"/>
  <c r="C30" i="38"/>
  <c r="C39" i="38" l="1"/>
  <c r="C34" i="38"/>
  <c r="C38" i="38" s="1"/>
  <c r="C31" i="38"/>
  <c r="C32" i="38"/>
  <c r="D10" i="33"/>
  <c r="D11" i="33"/>
  <c r="D9" i="33"/>
  <c r="C59" i="38"/>
  <c r="C20" i="42"/>
  <c r="C30" i="42"/>
  <c r="D18" i="33" s="1"/>
  <c r="C26" i="42"/>
  <c r="D17" i="33" s="1"/>
  <c r="D19" i="33" l="1"/>
  <c r="C57" i="38"/>
  <c r="C54" i="38"/>
  <c r="C58" i="38"/>
  <c r="C31" i="42"/>
  <c r="D12" i="33"/>
  <c r="D13" i="33" s="1"/>
  <c r="E35" i="33"/>
  <c r="C56" i="38" l="1"/>
  <c r="E41" i="33"/>
  <c r="C114" i="28"/>
  <c r="C113" i="28"/>
  <c r="C111" i="28"/>
  <c r="C6" i="28"/>
  <c r="C7" i="28"/>
  <c r="C8" i="28"/>
  <c r="E38" i="33" l="1"/>
  <c r="E39" i="33"/>
  <c r="E40" i="33"/>
  <c r="E44" i="33" l="1"/>
  <c r="C54" i="28"/>
  <c r="G57" i="38"/>
  <c r="C33" i="38"/>
  <c r="C37" i="38" s="1"/>
  <c r="C53" i="38" s="1"/>
  <c r="C245" i="28"/>
  <c r="B271" i="28"/>
  <c r="B270" i="28"/>
  <c r="B268" i="28"/>
  <c r="B267" i="28"/>
  <c r="B105" i="28"/>
  <c r="B101" i="28"/>
  <c r="C40" i="38" l="1"/>
  <c r="D8" i="33"/>
  <c r="G59" i="38"/>
  <c r="H59" i="38" s="1"/>
  <c r="H57" i="38"/>
  <c r="C248" i="28"/>
  <c r="C247" i="28"/>
  <c r="C246" i="28"/>
  <c r="B223" i="28"/>
  <c r="B222" i="28"/>
  <c r="B216" i="28"/>
  <c r="B212" i="28"/>
  <c r="B205" i="28"/>
  <c r="B204" i="28"/>
  <c r="B202" i="28"/>
  <c r="B201" i="28"/>
  <c r="B199" i="28"/>
  <c r="B198" i="28"/>
  <c r="B95" i="28"/>
  <c r="B91" i="28"/>
  <c r="B142" i="28"/>
  <c r="B138" i="28"/>
  <c r="B169" i="28"/>
  <c r="B165" i="28"/>
  <c r="B179" i="28"/>
  <c r="B175" i="28"/>
  <c r="B190" i="28"/>
  <c r="B186" i="28"/>
  <c r="B80" i="28"/>
  <c r="B71" i="28"/>
  <c r="B40" i="28"/>
  <c r="B35" i="28"/>
  <c r="B29" i="28"/>
  <c r="B25" i="28"/>
  <c r="C55" i="38" l="1"/>
  <c r="G58" i="38"/>
  <c r="G54" i="38"/>
  <c r="H54" i="38" s="1"/>
  <c r="C250" i="28"/>
  <c r="H58" i="38" l="1"/>
  <c r="H56" i="38" s="1"/>
  <c r="G56" i="38"/>
  <c r="G55" i="38"/>
  <c r="H55" i="38" s="1"/>
  <c r="G53" i="38"/>
  <c r="C52" i="38"/>
  <c r="C112" i="28"/>
  <c r="C51" i="28"/>
  <c r="C50" i="28"/>
  <c r="C154" i="28" s="1"/>
  <c r="C49" i="28"/>
  <c r="C28" i="28"/>
  <c r="C38" i="28" s="1"/>
  <c r="C27" i="28"/>
  <c r="C37" i="28" s="1"/>
  <c r="C26" i="28"/>
  <c r="C22" i="28"/>
  <c r="G52" i="38" l="1"/>
  <c r="H53" i="38"/>
  <c r="H52" i="38" s="1"/>
  <c r="C159" i="28"/>
  <c r="H222" i="28"/>
  <c r="C55" i="28"/>
  <c r="C172" i="28" s="1"/>
  <c r="C79" i="28"/>
  <c r="C141" i="28" s="1"/>
  <c r="C30" i="28"/>
  <c r="C207" i="28" s="1"/>
  <c r="M212" i="28"/>
  <c r="C32" i="28"/>
  <c r="C43" i="28" s="1"/>
  <c r="C249" i="28"/>
  <c r="C36" i="28"/>
  <c r="C39" i="28" s="1"/>
  <c r="C31" i="28"/>
  <c r="C42" i="28" s="1"/>
  <c r="C48" i="28"/>
  <c r="M213" i="28"/>
  <c r="C88" i="28" l="1"/>
  <c r="C145" i="28" s="1"/>
  <c r="C149" i="28" s="1"/>
  <c r="C255" i="28" s="1"/>
  <c r="C224" i="28"/>
  <c r="C275" i="28" s="1"/>
  <c r="H172" i="28"/>
  <c r="C41" i="28"/>
  <c r="M214" i="28"/>
  <c r="M215" i="28"/>
  <c r="C182" i="28"/>
  <c r="N213" i="28"/>
  <c r="N212" i="28"/>
  <c r="C219" i="28" l="1"/>
  <c r="C215" i="28"/>
  <c r="C273" i="28"/>
  <c r="H41" i="28"/>
  <c r="C44" i="28"/>
  <c r="C45" i="28" s="1"/>
  <c r="N215" i="28"/>
  <c r="N214" i="28"/>
  <c r="C238" i="28" l="1"/>
  <c r="I172" i="28" l="1"/>
  <c r="H182" i="28"/>
  <c r="C205" i="28"/>
  <c r="C53" i="28" l="1"/>
  <c r="C66" i="28" l="1"/>
  <c r="C65" i="28"/>
  <c r="C64" i="28"/>
  <c r="C68" i="28"/>
  <c r="C75" i="28" s="1"/>
  <c r="C170" i="28"/>
  <c r="C52" i="28"/>
  <c r="C167" i="28"/>
  <c r="C241" i="28" s="1"/>
  <c r="C171" i="28"/>
  <c r="C67" i="28" l="1"/>
  <c r="C73" i="28" s="1"/>
  <c r="C181" i="28"/>
  <c r="H171" i="28"/>
  <c r="I171" i="28" s="1"/>
  <c r="H167" i="28"/>
  <c r="I167" i="28" s="1"/>
  <c r="C177" i="28"/>
  <c r="C180" i="28"/>
  <c r="C169" i="28"/>
  <c r="C229" i="28"/>
  <c r="H170" i="28"/>
  <c r="C84" i="28"/>
  <c r="C179" i="28" l="1"/>
  <c r="C78" i="28"/>
  <c r="C140" i="28" s="1"/>
  <c r="C87" i="28"/>
  <c r="C144" i="28" s="1"/>
  <c r="C199" i="28"/>
  <c r="C218" i="28"/>
  <c r="H180" i="28"/>
  <c r="H181" i="28"/>
  <c r="C202" i="28"/>
  <c r="I170" i="28"/>
  <c r="I169" i="28" s="1"/>
  <c r="H169" i="28"/>
  <c r="C82" i="28"/>
  <c r="C86" i="28" s="1"/>
  <c r="C77" i="28"/>
  <c r="C139" i="28" s="1"/>
  <c r="C201" i="28"/>
  <c r="H177" i="28"/>
  <c r="C148" i="28" l="1"/>
  <c r="C254" i="28" s="1"/>
  <c r="C103" i="28"/>
  <c r="C107" i="28"/>
  <c r="C143" i="28"/>
  <c r="C200" i="28"/>
  <c r="H179" i="28"/>
  <c r="J179" i="28" s="1"/>
  <c r="K179" i="28" s="1"/>
  <c r="C108" i="28"/>
  <c r="C104" i="28"/>
  <c r="C168" i="28"/>
  <c r="C166" i="28"/>
  <c r="C232" i="28" s="1"/>
  <c r="C147" i="28" l="1"/>
  <c r="C150" i="28" s="1"/>
  <c r="C189" i="28"/>
  <c r="C234" i="28"/>
  <c r="C240" i="28"/>
  <c r="C239" i="28" s="1"/>
  <c r="C188" i="28"/>
  <c r="C176" i="28"/>
  <c r="H166" i="28"/>
  <c r="C165" i="28"/>
  <c r="C235" i="28"/>
  <c r="H168" i="28"/>
  <c r="I168" i="28" s="1"/>
  <c r="C178" i="28"/>
  <c r="C192" i="28"/>
  <c r="C237" i="28"/>
  <c r="C236" i="28" s="1"/>
  <c r="C193" i="28"/>
  <c r="C175" i="28" l="1"/>
  <c r="C183" i="28" s="1"/>
  <c r="C106" i="28"/>
  <c r="C102" i="28"/>
  <c r="C259" i="28"/>
  <c r="C153" i="28"/>
  <c r="C253" i="28"/>
  <c r="C256" i="28" s="1"/>
  <c r="C258" i="28" s="1"/>
  <c r="C204" i="28"/>
  <c r="H178" i="28"/>
  <c r="C271" i="28"/>
  <c r="I166" i="28"/>
  <c r="I165" i="28" s="1"/>
  <c r="H165" i="28"/>
  <c r="C155" i="28"/>
  <c r="C160" i="28" s="1"/>
  <c r="C260" i="28"/>
  <c r="C261" i="28"/>
  <c r="C198" i="28"/>
  <c r="H176" i="28"/>
  <c r="C214" i="28"/>
  <c r="C233" i="28"/>
  <c r="C158" i="28" l="1"/>
  <c r="C228" i="28"/>
  <c r="C227" i="28" s="1"/>
  <c r="H153" i="28"/>
  <c r="H106" i="28"/>
  <c r="H107" i="28" s="1"/>
  <c r="H108" i="28" s="1"/>
  <c r="C231" i="28"/>
  <c r="C230" i="28" s="1"/>
  <c r="C156" i="28"/>
  <c r="C162" i="28" s="1"/>
  <c r="C191" i="28"/>
  <c r="C187" i="28"/>
  <c r="C257" i="28"/>
  <c r="L213" i="28"/>
  <c r="C270" i="28"/>
  <c r="C269" i="28" s="1"/>
  <c r="C197" i="28"/>
  <c r="H175" i="28"/>
  <c r="J175" i="28" s="1"/>
  <c r="K175" i="28" s="1"/>
  <c r="L215" i="28"/>
  <c r="C203" i="28"/>
  <c r="C190" i="28" l="1"/>
  <c r="C186" i="28"/>
  <c r="H183" i="28"/>
  <c r="C206" i="28"/>
  <c r="C161" i="28"/>
  <c r="C267" i="28" l="1"/>
  <c r="C213" i="28"/>
  <c r="C212" i="28" s="1"/>
  <c r="C217" i="28"/>
  <c r="C216" i="28" s="1"/>
  <c r="C268" i="28"/>
  <c r="C194" i="28"/>
  <c r="H194" i="28" s="1"/>
  <c r="I194" i="28" s="1"/>
  <c r="L212" i="28" l="1"/>
  <c r="O213" i="28" s="1"/>
  <c r="H212" i="28"/>
  <c r="C266" i="28"/>
  <c r="C274" i="28" s="1"/>
  <c r="H216" i="28"/>
  <c r="L214" i="28"/>
  <c r="O215" i="28" s="1"/>
  <c r="C208" i="28"/>
  <c r="C209" i="28" s="1"/>
  <c r="C276" i="28" l="1"/>
  <c r="C277" i="28" s="1"/>
  <c r="C12" i="38"/>
  <c r="C14" i="38"/>
  <c r="C25" i="38" s="1"/>
  <c r="C13" i="38"/>
  <c r="C24" i="38" s="1"/>
  <c r="C80" i="38" s="1"/>
  <c r="C47" i="42"/>
  <c r="C9" i="38" s="1"/>
  <c r="C23" i="38" l="1"/>
  <c r="C95" i="38"/>
  <c r="E24" i="33" s="1"/>
  <c r="C67" i="38"/>
  <c r="G67" i="38" s="1"/>
  <c r="G66" i="38" s="1"/>
  <c r="I66" i="38" s="1"/>
  <c r="J66" i="38" s="1"/>
  <c r="C8" i="38"/>
  <c r="C63" i="38" s="1"/>
  <c r="C69" i="38"/>
  <c r="G69" i="38" s="1"/>
  <c r="C69" i="42"/>
  <c r="C103" i="38" s="1"/>
  <c r="E37" i="33" s="1"/>
  <c r="C19" i="38"/>
  <c r="C76" i="38" s="1"/>
  <c r="C64" i="38"/>
  <c r="C26" i="38"/>
  <c r="C79" i="38"/>
  <c r="C78" i="38" s="1"/>
  <c r="C10" i="38"/>
  <c r="C68" i="38"/>
  <c r="E9" i="33" l="1"/>
  <c r="C68" i="42"/>
  <c r="C102" i="38" s="1"/>
  <c r="E36" i="33" s="1"/>
  <c r="E43" i="33" s="1"/>
  <c r="E45" i="33" s="1"/>
  <c r="C18" i="38"/>
  <c r="C75" i="38" s="1"/>
  <c r="E5" i="33"/>
  <c r="C89" i="38"/>
  <c r="C85" i="38"/>
  <c r="C91" i="38"/>
  <c r="G63" i="38"/>
  <c r="G62" i="38" s="1"/>
  <c r="I62" i="38" s="1"/>
  <c r="J62" i="38" s="1"/>
  <c r="E10" i="33"/>
  <c r="G64" i="38"/>
  <c r="E6" i="33"/>
  <c r="C86" i="38"/>
  <c r="G68" i="38"/>
  <c r="C90" i="38"/>
  <c r="C46" i="38"/>
  <c r="C20" i="38"/>
  <c r="C77" i="38" s="1"/>
  <c r="C48" i="38"/>
  <c r="C118" i="38" s="1"/>
  <c r="C65" i="38"/>
  <c r="C47" i="38"/>
  <c r="C117" i="38" s="1"/>
  <c r="C66" i="38"/>
  <c r="C104" i="38" l="1"/>
  <c r="C88" i="38"/>
  <c r="C74" i="38"/>
  <c r="C82" i="38" s="1"/>
  <c r="C21" i="38"/>
  <c r="C27" i="38" s="1"/>
  <c r="E47" i="33"/>
  <c r="E11" i="33"/>
  <c r="E12" i="33" s="1"/>
  <c r="G65" i="38"/>
  <c r="C87" i="38"/>
  <c r="C84" i="38" s="1"/>
  <c r="E7" i="33"/>
  <c r="E8" i="33" s="1"/>
  <c r="C62" i="38"/>
  <c r="C70" i="38" s="1"/>
  <c r="G70" i="38" s="1"/>
  <c r="E31" i="33"/>
  <c r="C116" i="38"/>
  <c r="C123" i="38"/>
  <c r="E56" i="33" s="1"/>
  <c r="C49" i="38"/>
  <c r="C92" i="38" l="1"/>
  <c r="E30" i="33"/>
  <c r="E13" i="33"/>
  <c r="C125" i="38"/>
  <c r="E58" i="33" s="1"/>
  <c r="C124" i="38"/>
  <c r="E57" i="33" s="1"/>
  <c r="E17" i="33"/>
  <c r="C122" i="38"/>
  <c r="E55" i="33" s="1"/>
  <c r="C119" i="38"/>
  <c r="E21" i="33" l="1"/>
  <c r="E18" i="33"/>
  <c r="E22" i="33" s="1"/>
  <c r="C94" i="38"/>
  <c r="C96" i="38" s="1"/>
  <c r="C121" i="38"/>
  <c r="E54" i="33" s="1"/>
  <c r="C120" i="38"/>
  <c r="E53" i="33" s="1"/>
  <c r="E52" i="33"/>
  <c r="E19" i="33" l="1"/>
  <c r="E23" i="33" l="1"/>
  <c r="E48" i="33" s="1"/>
  <c r="E25" i="33"/>
  <c r="E27" i="33" s="1"/>
  <c r="E26" i="33" l="1"/>
</calcChain>
</file>

<file path=xl/sharedStrings.xml><?xml version="1.0" encoding="utf-8"?>
<sst xmlns="http://schemas.openxmlformats.org/spreadsheetml/2006/main" count="1193" uniqueCount="324">
  <si>
    <t>Total</t>
  </si>
  <si>
    <t>Unit</t>
  </si>
  <si>
    <t>$/tonne</t>
  </si>
  <si>
    <t>t/year</t>
  </si>
  <si>
    <t>SEPs</t>
  </si>
  <si>
    <t>%</t>
  </si>
  <si>
    <t>Infrastructure costs</t>
  </si>
  <si>
    <t>Roll of compostable bags</t>
  </si>
  <si>
    <t>$/bin</t>
  </si>
  <si>
    <t>$/roll</t>
  </si>
  <si>
    <t>Kitchen caddy</t>
  </si>
  <si>
    <t>$/caddy</t>
  </si>
  <si>
    <t>General waste</t>
  </si>
  <si>
    <t>Comingled recycling</t>
  </si>
  <si>
    <t>Kerbside material volumes</t>
  </si>
  <si>
    <t>FOGO recycling</t>
  </si>
  <si>
    <t>Total lifts per year</t>
  </si>
  <si>
    <t>$/year</t>
  </si>
  <si>
    <t>Notes</t>
  </si>
  <si>
    <t>Source</t>
  </si>
  <si>
    <t>Calculation</t>
  </si>
  <si>
    <t>Assumption</t>
  </si>
  <si>
    <t>Delivery of caddy/bags</t>
  </si>
  <si>
    <t>Diversion rate</t>
  </si>
  <si>
    <t>kg/SEP/week</t>
  </si>
  <si>
    <t>Additional jobs</t>
  </si>
  <si>
    <t xml:space="preserve">$/tonne contribution </t>
  </si>
  <si>
    <t>Rawtec analysis</t>
  </si>
  <si>
    <t>EW - Data</t>
  </si>
  <si>
    <t>SA EPA</t>
  </si>
  <si>
    <t>Disposal/Processing costs</t>
  </si>
  <si>
    <t>$/item</t>
  </si>
  <si>
    <t>GISA RAS</t>
  </si>
  <si>
    <t>GISA Org.</t>
  </si>
  <si>
    <t>t CO2-e/t</t>
  </si>
  <si>
    <t>% weight of bin</t>
  </si>
  <si>
    <t>Food organics (loose/compostable bag)</t>
  </si>
  <si>
    <t>Garden organics</t>
  </si>
  <si>
    <t>Organics - packaged</t>
  </si>
  <si>
    <t>Compostable paper/
cardboard</t>
  </si>
  <si>
    <t>Comingled recycling collection cost</t>
  </si>
  <si>
    <t>FOGO recycling collection cost</t>
  </si>
  <si>
    <t>General waste disposal</t>
  </si>
  <si>
    <t>Comingled recycling processing</t>
  </si>
  <si>
    <t>FOGO recycling processing</t>
  </si>
  <si>
    <t>East Waste Admin</t>
  </si>
  <si>
    <t>lifts/year</t>
  </si>
  <si>
    <t>FOGO Recycling</t>
  </si>
  <si>
    <t>$/lift</t>
  </si>
  <si>
    <t>Current kerbside material volumes</t>
  </si>
  <si>
    <t>Organics in general waste</t>
  </si>
  <si>
    <t>Compostable paper/cardboard</t>
  </si>
  <si>
    <t>Capture of food organics in general waste</t>
  </si>
  <si>
    <t>Capture of garden organics in general waste</t>
  </si>
  <si>
    <t>% capture</t>
  </si>
  <si>
    <t>Additional garden organics (previously unaccounted)</t>
  </si>
  <si>
    <t>Total Food</t>
  </si>
  <si>
    <t>Food diversion for Sustainable Service</t>
  </si>
  <si>
    <t>Garden organics diversion for Sustainable Service</t>
  </si>
  <si>
    <t>tonnes/diverted week</t>
  </si>
  <si>
    <t>Additional garden organics for Sustainable Service</t>
  </si>
  <si>
    <t>Kerbside diversion</t>
  </si>
  <si>
    <t>Generation per week</t>
  </si>
  <si>
    <t>Kerbside audit - General waste</t>
  </si>
  <si>
    <t>Assuming most material would move over easily to FOGO bin</t>
  </si>
  <si>
    <t>Food waste from GW bin</t>
  </si>
  <si>
    <t>Garden waste from GW bin</t>
  </si>
  <si>
    <t>Additional garden waste</t>
  </si>
  <si>
    <t>Value</t>
  </si>
  <si>
    <t>tonnes/year</t>
  </si>
  <si>
    <t>All FOGO</t>
  </si>
  <si>
    <t>Additional material diverted/captured</t>
  </si>
  <si>
    <t>% landfill diversion</t>
  </si>
  <si>
    <t>New kerbside material volumes</t>
  </si>
  <si>
    <t>New lift rates</t>
  </si>
  <si>
    <t>Processing/disposal costs</t>
  </si>
  <si>
    <t>Landfill disposal</t>
  </si>
  <si>
    <t>Landfill levy - Metro</t>
  </si>
  <si>
    <t>FOGO processing</t>
  </si>
  <si>
    <t>MGB cost - 140 L (including delivery)</t>
  </si>
  <si>
    <t>MGB cost - 240 L (including delivery)</t>
  </si>
  <si>
    <t>Includes RFID</t>
  </si>
  <si>
    <t>Transition costs</t>
  </si>
  <si>
    <t>Caddies roll out</t>
  </si>
  <si>
    <t>Compostable bags rollout</t>
  </si>
  <si>
    <t>Delivery cost</t>
  </si>
  <si>
    <t>Communications</t>
  </si>
  <si>
    <t>Environmental Benefits</t>
  </si>
  <si>
    <t>Food waste GHG emissions factor</t>
  </si>
  <si>
    <t>Garden organics GHG emissions factor</t>
  </si>
  <si>
    <t>cars per tonne</t>
  </si>
  <si>
    <t>trees per tonne</t>
  </si>
  <si>
    <t>additional FTE per 10,000 tonnes</t>
  </si>
  <si>
    <t>Additional jobs from composting</t>
  </si>
  <si>
    <t>Contribution of organics to Gross state product</t>
  </si>
  <si>
    <t>Cars per tonne of CO2 saved</t>
  </si>
  <si>
    <t>Trees per tonne of CO2 saved</t>
  </si>
  <si>
    <t>t CO2-e</t>
  </si>
  <si>
    <t>Environmental/State benefits</t>
  </si>
  <si>
    <t>Total CO2-e saved</t>
  </si>
  <si>
    <t>Food waste - Tonnes CO2-e saved</t>
  </si>
  <si>
    <t>Garden waste (from General waste bins) - Tonnes CO2-e saved</t>
  </si>
  <si>
    <t>Additional Garden waste - Tonnes CO2-e saved</t>
  </si>
  <si>
    <t>Equivalent cars removed from the road</t>
  </si>
  <si>
    <t>Equivalent trees planted</t>
  </si>
  <si>
    <t>No. trees</t>
  </si>
  <si>
    <t>No. cars</t>
  </si>
  <si>
    <t>Waste levy savings</t>
  </si>
  <si>
    <t>Contribution to GSP</t>
  </si>
  <si>
    <t>FTE jobs</t>
  </si>
  <si>
    <t>$ levy</t>
  </si>
  <si>
    <t>$ GSP contribution</t>
  </si>
  <si>
    <t>$ for rollout</t>
  </si>
  <si>
    <t>Total transition costs</t>
  </si>
  <si>
    <t>Collections/year</t>
  </si>
  <si>
    <t>Kerbside Collection Costs</t>
  </si>
  <si>
    <t>Disposal/Processing Costs</t>
  </si>
  <si>
    <t>Kerbside Collection Total</t>
  </si>
  <si>
    <t>Total Kerbside System Costs</t>
  </si>
  <si>
    <t xml:space="preserve">Sustainable Service (Weekly FOGO) and Old Service (Weekly GW and Fortnightly FOGO) offered to Township and Rural residents with the option to choose what system. </t>
  </si>
  <si>
    <t>Lift Rate % Change</t>
  </si>
  <si>
    <t>%/change</t>
  </si>
  <si>
    <t>Generation by Service Type</t>
  </si>
  <si>
    <t>$/SEP</t>
  </si>
  <si>
    <t>Costs per SEP</t>
  </si>
  <si>
    <t>Sustainable Service - Township</t>
  </si>
  <si>
    <t>Collection</t>
  </si>
  <si>
    <t>Disposal/Processing</t>
  </si>
  <si>
    <t>Admin</t>
  </si>
  <si>
    <t>Sustainable Service - Rural</t>
  </si>
  <si>
    <t>Old Service - Township</t>
  </si>
  <si>
    <t>Old Service - Rural</t>
  </si>
  <si>
    <t>Processing/Disposal Cost</t>
  </si>
  <si>
    <t>Tonnes year</t>
  </si>
  <si>
    <t>kg/SEP/week - Total</t>
  </si>
  <si>
    <t>Lifts per year</t>
  </si>
  <si>
    <t>Service Entitled Premises</t>
  </si>
  <si>
    <t>Kerbside collection</t>
  </si>
  <si>
    <t>Other Service Costs</t>
  </si>
  <si>
    <t>Additional Bin costs</t>
  </si>
  <si>
    <t>General waste - Weekly</t>
  </si>
  <si>
    <t>Cost/year</t>
  </si>
  <si>
    <t>Disposal</t>
  </si>
  <si>
    <t>General waste - Fortnightly</t>
  </si>
  <si>
    <t>FOGO Recycling - Weekly</t>
  </si>
  <si>
    <t>FOGO Recycling - Fortnightly</t>
  </si>
  <si>
    <t>Comingled recycling - Fortnightly</t>
  </si>
  <si>
    <t>total to collect off week GW</t>
  </si>
  <si>
    <t>annual total</t>
  </si>
  <si>
    <t>Cost/SEP</t>
  </si>
  <si>
    <t>Weighted average</t>
  </si>
  <si>
    <t>$/SEP/year</t>
  </si>
  <si>
    <t>Total cost recovery</t>
  </si>
  <si>
    <t>Price difference make s it more attractive to add another fortnightly GW bin than choose weekly collection</t>
  </si>
  <si>
    <t>Collection costs</t>
  </si>
  <si>
    <t>East Waste administration costs</t>
  </si>
  <si>
    <t>Financial Summary</t>
  </si>
  <si>
    <t>Difference to Current System ( + cost / - saving)</t>
  </si>
  <si>
    <t>Bin Menu Option 1 | Sustainable Service &amp; Old Service</t>
  </si>
  <si>
    <t>bins/hour</t>
  </si>
  <si>
    <t>hours available to service</t>
  </si>
  <si>
    <t>Data/Assumptions</t>
  </si>
  <si>
    <t>System Uptake</t>
  </si>
  <si>
    <t>System Collection Frequency</t>
  </si>
  <si>
    <t>System Option SEPs</t>
  </si>
  <si>
    <t>System Lifts per year</t>
  </si>
  <si>
    <t>Materials Diversion</t>
  </si>
  <si>
    <t>Modelling</t>
  </si>
  <si>
    <t>New FOGO bins</t>
  </si>
  <si>
    <t>Food diversion for Old Service - above current performance</t>
  </si>
  <si>
    <t>Garden organics diversion for Old Service - above current performance</t>
  </si>
  <si>
    <t>Additional garden organics for Old Service - above current performance</t>
  </si>
  <si>
    <t>EW Audit 22</t>
  </si>
  <si>
    <t xml:space="preserve">Accounts for the weekly/fortnightly lift rate </t>
  </si>
  <si>
    <t>Cost recovery charges</t>
  </si>
  <si>
    <t>Collection cost total</t>
  </si>
  <si>
    <t>Processing/disposal cost total</t>
  </si>
  <si>
    <t>Total kerbside cost</t>
  </si>
  <si>
    <t>EW admin cost to manage opt-outs</t>
  </si>
  <si>
    <t>Cost recovery income</t>
  </si>
  <si>
    <r>
      <t>Kerbside cost</t>
    </r>
    <r>
      <rPr>
        <sz val="10"/>
        <color theme="1"/>
        <rFont val="Microsoft PhagsPa"/>
        <family val="2"/>
      </rPr>
      <t xml:space="preserve"> (without cost recovery income)</t>
    </r>
  </si>
  <si>
    <t xml:space="preserve"> Additional Cost (+) / Saving (-) from current total</t>
  </si>
  <si>
    <t>Proportion choosing Weekly FOGO</t>
  </si>
  <si>
    <t>Proportion choosing Weekly GW</t>
  </si>
  <si>
    <t>Balance</t>
  </si>
  <si>
    <t>Collection cost difference to current</t>
  </si>
  <si>
    <t>Kerbside service cost difference</t>
  </si>
  <si>
    <t>Additional environmental/state benefits from current</t>
  </si>
  <si>
    <t>Contribution to Gross State Product</t>
  </si>
  <si>
    <t>Residents on Weekly GW (old service)</t>
  </si>
  <si>
    <t>Residents on Weekly FOGO (sustainable service)</t>
  </si>
  <si>
    <t>Modelling Summary</t>
  </si>
  <si>
    <t>Upsized comingled recycling bins</t>
  </si>
  <si>
    <t>Upsized general waste bins</t>
  </si>
  <si>
    <t>MGB cost - 360 L (including delivery)</t>
  </si>
  <si>
    <t>Bin Costs</t>
  </si>
  <si>
    <t>Est. ACCU income</t>
  </si>
  <si>
    <t>Est. average ACCU price</t>
  </si>
  <si>
    <t>Overall SEP cost/saving</t>
  </si>
  <si>
    <t>Cost difference % of current kerbside total</t>
  </si>
  <si>
    <t>Kerbside service cost per SEP</t>
  </si>
  <si>
    <t>Potential ACCU income (7 year market value if sold)</t>
  </si>
  <si>
    <t>years</t>
  </si>
  <si>
    <t>Consultancy support</t>
  </si>
  <si>
    <t>Service Entitled Properties</t>
  </si>
  <si>
    <t>General waste collection cost</t>
  </si>
  <si>
    <t>General waste disposal cost</t>
  </si>
  <si>
    <t>Comingled recycling processing cost</t>
  </si>
  <si>
    <t>FOGO recycling processing cost</t>
  </si>
  <si>
    <t>Disposal &amp; processing rates</t>
  </si>
  <si>
    <t>Current annual service costs</t>
  </si>
  <si>
    <t>New system - data/assumptions</t>
  </si>
  <si>
    <t>SA Landfill Levy</t>
  </si>
  <si>
    <t>Inputs &amp; Values</t>
  </si>
  <si>
    <t>Total CO2-e saved/potential ACCUs available as offset</t>
  </si>
  <si>
    <t>Food organics</t>
  </si>
  <si>
    <t>New garden organics (previously unaccounted for)</t>
  </si>
  <si>
    <t>Data/assumptions</t>
  </si>
  <si>
    <t>Additional garden waste previously unaccounted for</t>
  </si>
  <si>
    <t>Diversion variables</t>
  </si>
  <si>
    <t>Bin lifts per year</t>
  </si>
  <si>
    <t>Assumes 5% reduction on general waste generation</t>
  </si>
  <si>
    <t>Waste Generation - tonnes</t>
  </si>
  <si>
    <t>Waste Generation - kg/SEP/week</t>
  </si>
  <si>
    <t>FOGO diverted from the general waste bin only</t>
  </si>
  <si>
    <t>Transition variables</t>
  </si>
  <si>
    <t>Number of new FOGO bins required</t>
  </si>
  <si>
    <t>Number of new upsized general waste bins required</t>
  </si>
  <si>
    <t>Number of new upsized comingled recycling bins required</t>
  </si>
  <si>
    <t># bins</t>
  </si>
  <si>
    <t>Total bins cost (capital cost)</t>
  </si>
  <si>
    <t>Capital costs</t>
  </si>
  <si>
    <t>Operational budget costs</t>
  </si>
  <si>
    <t>Current system - data/assumptions</t>
  </si>
  <si>
    <t>Kerbside Service Costs</t>
  </si>
  <si>
    <t>Week 1 at weekly FOGO lift rate and Week 2 at Weekly GW lift rate</t>
  </si>
  <si>
    <t>Total kg/SEP/week</t>
  </si>
  <si>
    <t>Total kerbside tonnes</t>
  </si>
  <si>
    <t>Annual kerbside service costs</t>
  </si>
  <si>
    <t>Current Services</t>
  </si>
  <si>
    <t>Waste generation</t>
  </si>
  <si>
    <t>Processing/disposal difference to current</t>
  </si>
  <si>
    <t>Residents on Sustainable Service (weekly FOGO)</t>
  </si>
  <si>
    <t>Sustainable Service (weekly FOGO)</t>
  </si>
  <si>
    <t>Old Service (opt-out weekly general waste)</t>
  </si>
  <si>
    <t>Proportion opting out (weekly general waste)</t>
  </si>
  <si>
    <t xml:space="preserve">Proportion upsizing their general waste bin (Sustainable Service only) </t>
  </si>
  <si>
    <t>Proportion upsizing their comingled recycling bin (Sustainable Service only)</t>
  </si>
  <si>
    <t xml:space="preserve">% can be edited. Set at 5% assuming service charge is included. </t>
  </si>
  <si>
    <t>% can be edited according to council audit results.</t>
  </si>
  <si>
    <t>% can be edited. 3% is the expected upsize rate.</t>
  </si>
  <si>
    <t>% can be edited. 1% is the expected upsize rate.</t>
  </si>
  <si>
    <t>General waste - fortnightly collection</t>
  </si>
  <si>
    <t>Comingled recycling - fortnightly collection</t>
  </si>
  <si>
    <t>FOGO Recycling - weekly collection</t>
  </si>
  <si>
    <t>FOGO Recycling - fortnightly collection</t>
  </si>
  <si>
    <t>General waste - weekly collection</t>
  </si>
  <si>
    <t>Additional reduction in general waste generation by those on Weekly FOGO</t>
  </si>
  <si>
    <t>Additional waste generated by those opting-out to weekly general waste</t>
  </si>
  <si>
    <t>Communications materials (letters, calendars, information etc.)</t>
  </si>
  <si>
    <t>Does not include internal staff resourcing.</t>
  </si>
  <si>
    <t>tonnes CO2-e/tonne</t>
  </si>
  <si>
    <t>Proportion of food organics diverted from the general waste bin to the FOGO bin</t>
  </si>
  <si>
    <t>Automatic calculation</t>
  </si>
  <si>
    <t>Service charge for opt-out to weekly general waste</t>
  </si>
  <si>
    <t>$ value can be edited.</t>
  </si>
  <si>
    <t>Service charge income</t>
  </si>
  <si>
    <t>Total kerbside cost difference</t>
  </si>
  <si>
    <t>Kerbside service costs (without cost recovery income)</t>
  </si>
  <si>
    <t>Total kerbside system costs</t>
  </si>
  <si>
    <t>Total kerbside system costs (including cost recovery income)</t>
  </si>
  <si>
    <t>Kerbside system cost (without cost recovery income)</t>
  </si>
  <si>
    <t xml:space="preserve">When complete, the information in this document may be confidential and commercially sensitive and should not be shared beyond the council. </t>
  </si>
  <si>
    <t>Purpose and limits of this calculator</t>
  </si>
  <si>
    <t>This document or the information contained within must not be used in a misleading, deceptive, defamatory or inaccurate manner or in any way that may otherwise be prejudicial to Rawtec, including without limitation, in order to imply that Rawtec has endorsed a particular product or service.</t>
  </si>
  <si>
    <t>Calculator instructions</t>
  </si>
  <si>
    <t>Inputs &amp; Values tab</t>
  </si>
  <si>
    <t xml:space="preserve">This tab shows the detail of the modelling. All cells are locked and cannot be edited. </t>
  </si>
  <si>
    <t xml:space="preserve">This document is based upon sources, experimentation and methodology believed to be reasonably reliable at the time of publication. The accuracy of this information after this date may change. The information is not to be relied upon or extrapolated beyond its intended purpose. </t>
  </si>
  <si>
    <t>Comingled recycling - fortnightly</t>
  </si>
  <si>
    <t>General waste - fortnightly</t>
  </si>
  <si>
    <t>FOGO recycling - weekly</t>
  </si>
  <si>
    <t>General waste - weekly</t>
  </si>
  <si>
    <t>FOGO recycling - fortnightly</t>
  </si>
  <si>
    <t>For rollout of green bins to households who do not already have one</t>
  </si>
  <si>
    <t>Sustainable Kerbside Service</t>
  </si>
  <si>
    <t>Based on entered data from 'Inputs &amp; Values' tab</t>
  </si>
  <si>
    <t>Opt-out services (households returning to old model)</t>
  </si>
  <si>
    <t>Sustainable service</t>
  </si>
  <si>
    <t>May assume no change in comingled recycling from old service</t>
  </si>
  <si>
    <t>Assumes additional loading on general waste generation</t>
  </si>
  <si>
    <t>Enter input data and assumptions in this tab. Any orange cell can be edited with a value. Some cells have been populated with average values as a starting point and can be overwritten. Other cells cannot be edited. This information may be obtained from a range of sources, such as kerbside audits, waste collection/processing contract(s), tender responses and other sources.</t>
  </si>
  <si>
    <t xml:space="preserve">This calculator has been prepared by Rawtec for Green Industries SA. </t>
  </si>
  <si>
    <t>Pricing for bin lifts on the alternate week to Sustainable Service</t>
  </si>
  <si>
    <t>FOGO proportion in general waste under old service model (use kerbside audit results if possible)</t>
  </si>
  <si>
    <t xml:space="preserve">% of the food previously in the general waste bin that is recycled through the FOGO bin. </t>
  </si>
  <si>
    <t xml:space="preserve">% of the garden organics previously in the general waste bin that is recycled through the FOGO bin. </t>
  </si>
  <si>
    <t xml:space="preserve">Acknowledges there is an increase in garden material that was not previously collected. </t>
  </si>
  <si>
    <t xml:space="preserve">Assumes small reduction in waste generation on top of the FOGO material diverted. </t>
  </si>
  <si>
    <t>This accounts for these residents generating more waste than the average household.</t>
  </si>
  <si>
    <t>Automatic calculation. Can be overwritten if required.</t>
  </si>
  <si>
    <t>Current average price which may change over time. Can be edited to current value.</t>
  </si>
  <si>
    <t>Additional contribution of organics to Gross state product</t>
  </si>
  <si>
    <t>Proportion of garden organics diverted from the general waste bin to the FOGO bin</t>
  </si>
  <si>
    <t>Organics in general waste under the old service</t>
  </si>
  <si>
    <t>Additional FOGO materials diverted from the general waste bin</t>
  </si>
  <si>
    <t xml:space="preserve">Weekly general waste, fortnightly comingled recycling and FOGO </t>
  </si>
  <si>
    <t xml:space="preserve">This calculator does not replace a detailed business case or feasibility study. Councils should conduct appropriate due diligence before making any changes to kerbside services and contracts. Additional support and advice may be required to understand the costs and opportunities of the Sustainable Kerbside Service. </t>
  </si>
  <si>
    <t xml:space="preserve">This tab summarises and compares the current services and the Sustainable Kerbside Service. It includes estimated waste generation, annual operational costs, transition costs and the environmental and state benefits. All cells are locked and cannot be edited. </t>
  </si>
  <si>
    <t>The calculator provides an annual cost estimate for kerbside services instead of forecasting savings over time. There are many variables that will change and the actual costs and savings will be subject to these changes.</t>
  </si>
  <si>
    <t>Transition cost payback period</t>
  </si>
  <si>
    <t>Default weekly FOGO, fortnightly general waste with a service charge to opt-out to old model</t>
  </si>
  <si>
    <t>This calculator helps councils to identify potential costs (or savings) of moving to the Sustainable Kerbside Service model. It is a high-level tool and does not consider all the specific circumstances of individual councils and their community. It does not include cost estimates of internal staff/resources to support the transition to the service (e.g customer service) or costs of measuring outcomes (e.g. doing kerbside audits).</t>
  </si>
  <si>
    <t>Sustainable Kerbside Model</t>
  </si>
  <si>
    <t>Residents on Old Service (opt-out to weekly general waste)</t>
  </si>
  <si>
    <t>Default weekly FOGO, fortnightly general waste, fortnightly comingled recycling with a service charge to opt-out to old service</t>
  </si>
  <si>
    <t>Toolkit B: Sustainable Kerbside Services - Cost calculator</t>
  </si>
  <si>
    <t>ongoing FTE jobs</t>
  </si>
  <si>
    <t># cars/year</t>
  </si>
  <si>
    <t># trees/year</t>
  </si>
  <si>
    <t>tonnes CO2-e/year</t>
  </si>
  <si>
    <t>SA Organics Sector Analysis Summary, 2021</t>
  </si>
  <si>
    <t>Recycling Activity Survey 2019/20, 2021</t>
  </si>
  <si>
    <t>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</si>
</sst>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quot;$&quot;* #,##0.00_-;_-&quot;$&quot;* &quot;-&quot;??_-;_-@_-"/>
    <numFmt numFmtId="43" formatCode="_-* #,##0.00_-;\-* #,##0.00_-;_-* &quot;-&quot;??_-;_-@_-"/>
    <numFmt numFmtId="164" formatCode="_-&quot;$&quot;* #,##0_-;\-&quot;$&quot;* #,##0_-;_-&quot;$&quot;* &quot;-&quot;??_-;_-@_-"/>
    <numFmt numFmtId="165" formatCode="#,##0.0"/>
    <numFmt numFmtId="166" formatCode="0.0%"/>
    <numFmt numFmtId="167" formatCode="#,##0.00000000000"/>
    <numFmt numFmtId="168" formatCode="#,##0.000"/>
    <numFmt numFmtId="169" formatCode="0.0"/>
    <numFmt numFmtId="170" formatCode="_-* #,##0_-;\-* #,##0_-;_-* &quot;-&quot;??_-;_-@_-"/>
    <numFmt numFmtId="171" formatCode="_-&quot;$&quot;* #,##0.0_-;\-&quot;$&quot;* #,##0.0_-;_-&quot;$&quot;* &quot;-&quot;??_-;_-@_-"/>
    <numFmt numFmtId="172" formatCode="_-* #,##0.0_-;\-* #,##0.0_-;_-* &quot;-&quot;??_-;_-@_-"/>
  </numFmts>
  <fonts count="30" x14ac:knownFonts="1">
    <font>
      <sz val="11"/>
      <color theme="1"/>
      <name val="Calibri"/>
      <family val="2"/>
      <scheme val="minor"/>
    </font>
    <font>
      <sz val="11"/>
      <color theme="1"/>
      <name val="Microsoft PhagsPa"/>
      <family val="2"/>
    </font>
    <font>
      <sz val="11"/>
      <color theme="1"/>
      <name val="Calibri"/>
      <family val="2"/>
      <scheme val="minor"/>
    </font>
    <font>
      <sz val="11"/>
      <color theme="1"/>
      <name val="Microsoft PhagsPa"/>
      <family val="2"/>
    </font>
    <font>
      <sz val="10"/>
      <color theme="1"/>
      <name val="Microsoft PhagsPa"/>
      <family val="2"/>
    </font>
    <font>
      <b/>
      <sz val="10"/>
      <color theme="1"/>
      <name val="Microsoft PhagsPa"/>
      <family val="2"/>
    </font>
    <font>
      <b/>
      <sz val="10"/>
      <color theme="0"/>
      <name val="Microsoft PhagsPa"/>
      <family val="2"/>
    </font>
    <font>
      <sz val="11"/>
      <name val="Microsoft PhagsPa"/>
      <family val="2"/>
    </font>
    <font>
      <b/>
      <sz val="16"/>
      <color theme="0"/>
      <name val="Microsoft PhagsPa"/>
      <family val="2"/>
    </font>
    <font>
      <i/>
      <sz val="10"/>
      <color theme="1" tint="0.499984740745262"/>
      <name val="Microsoft PhagsPa"/>
      <family val="2"/>
    </font>
    <font>
      <i/>
      <sz val="10"/>
      <color theme="1"/>
      <name val="Microsoft PhagsPa"/>
      <family val="2"/>
    </font>
    <font>
      <b/>
      <sz val="20"/>
      <color theme="0"/>
      <name val="Microsoft PhagsPa"/>
      <family val="2"/>
    </font>
    <font>
      <sz val="10"/>
      <color theme="1" tint="0.499984740745262"/>
      <name val="Microsoft PhagsPa"/>
      <family val="2"/>
    </font>
    <font>
      <b/>
      <i/>
      <sz val="10"/>
      <color theme="1" tint="0.499984740745262"/>
      <name val="Microsoft PhagsPa"/>
      <family val="2"/>
    </font>
    <font>
      <b/>
      <i/>
      <sz val="10"/>
      <color theme="1"/>
      <name val="Microsoft PhagsPa"/>
      <family val="2"/>
    </font>
    <font>
      <b/>
      <sz val="10"/>
      <color theme="1" tint="0.499984740745262"/>
      <name val="Microsoft PhagsPa"/>
      <family val="2"/>
    </font>
    <font>
      <b/>
      <sz val="14"/>
      <color theme="1"/>
      <name val="Microsoft PhagsPa"/>
      <family val="2"/>
    </font>
    <font>
      <sz val="8"/>
      <name val="Calibri"/>
      <family val="2"/>
      <scheme val="minor"/>
    </font>
    <font>
      <b/>
      <sz val="12"/>
      <color theme="0"/>
      <name val="Microsoft PhagsPa"/>
      <family val="2"/>
    </font>
    <font>
      <i/>
      <sz val="10"/>
      <name val="Microsoft PhagsPa"/>
      <family val="2"/>
    </font>
    <font>
      <b/>
      <i/>
      <sz val="10"/>
      <name val="Microsoft PhagsPa"/>
      <family val="2"/>
    </font>
    <font>
      <b/>
      <sz val="10"/>
      <name val="Microsoft PhagsPa"/>
      <family val="2"/>
    </font>
    <font>
      <b/>
      <sz val="11"/>
      <name val="Microsoft PhagsPa"/>
      <family val="2"/>
    </font>
    <font>
      <sz val="10"/>
      <name val="Microsoft PhagsPa"/>
      <family val="2"/>
    </font>
    <font>
      <b/>
      <sz val="12"/>
      <name val="Microsoft PhagsPa"/>
      <family val="2"/>
    </font>
    <font>
      <b/>
      <sz val="18"/>
      <color theme="0"/>
      <name val="Microsoft PhagsPa"/>
      <family val="2"/>
    </font>
    <font>
      <b/>
      <sz val="16"/>
      <name val="Microsoft PhagsPa"/>
      <family val="2"/>
    </font>
    <font>
      <u/>
      <sz val="11"/>
      <color theme="1"/>
      <name val="Microsoft PhagsPa"/>
      <family val="2"/>
    </font>
    <font>
      <sz val="10"/>
      <color rgb="FFFF0000"/>
      <name val="Microsoft PhagsPa"/>
      <family val="2"/>
    </font>
    <font>
      <b/>
      <sz val="14"/>
      <name val="Microsoft PhagsPa"/>
      <family val="2"/>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1D5C7A"/>
        <bgColor indexed="64"/>
      </patternFill>
    </fill>
    <fill>
      <patternFill patternType="solid">
        <fgColor rgb="FF2C8AB7"/>
        <bgColor indexed="64"/>
      </patternFill>
    </fill>
    <fill>
      <patternFill patternType="solid">
        <fgColor theme="7" tint="0.79998168889431442"/>
        <bgColor indexed="64"/>
      </patternFill>
    </fill>
    <fill>
      <patternFill patternType="solid">
        <fgColor rgb="FFDDEEF7"/>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A8C836"/>
        <bgColor indexed="64"/>
      </patternFill>
    </fill>
    <fill>
      <patternFill patternType="solid">
        <fgColor rgb="FFEDF4D6"/>
        <bgColor indexed="64"/>
      </patternFill>
    </fill>
    <fill>
      <patternFill patternType="solid">
        <fgColor theme="1" tint="0.249977111117893"/>
        <bgColor indexed="64"/>
      </patternFill>
    </fill>
  </fills>
  <borders count="19">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theme="0"/>
      </left>
      <right style="thin">
        <color theme="0"/>
      </right>
      <top/>
      <bottom/>
      <diagonal/>
    </border>
    <border>
      <left style="thin">
        <color theme="0" tint="-0.14996795556505021"/>
      </left>
      <right style="thin">
        <color theme="0"/>
      </right>
      <top style="thin">
        <color theme="0" tint="-0.14996795556505021"/>
      </top>
      <bottom style="thin">
        <color theme="0" tint="-0.14996795556505021"/>
      </bottom>
      <diagonal/>
    </border>
    <border>
      <left style="thin">
        <color theme="0"/>
      </left>
      <right style="thin">
        <color theme="0"/>
      </right>
      <top style="thin">
        <color theme="0" tint="-0.14996795556505021"/>
      </top>
      <bottom style="thin">
        <color theme="0" tint="-0.14996795556505021"/>
      </bottom>
      <diagonal/>
    </border>
    <border>
      <left/>
      <right style="thin">
        <color theme="0"/>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9847407452621"/>
      </bottom>
      <diagonal/>
    </border>
    <border>
      <left/>
      <right/>
      <top style="thin">
        <color theme="0" tint="-0.14996795556505021"/>
      </top>
      <bottom/>
      <diagonal/>
    </border>
    <border>
      <left style="thin">
        <color theme="0"/>
      </left>
      <right style="thin">
        <color theme="0"/>
      </right>
      <top style="thin">
        <color theme="0" tint="-0.14996795556505021"/>
      </top>
      <bottom style="thin">
        <color theme="0"/>
      </bottom>
      <diagonal/>
    </border>
    <border>
      <left style="thin">
        <color theme="0"/>
      </left>
      <right style="thin">
        <color theme="0"/>
      </right>
      <top/>
      <bottom style="thin">
        <color theme="0"/>
      </bottom>
      <diagonal/>
    </border>
  </borders>
  <cellStyleXfs count="5">
    <xf numFmtId="0" fontId="0"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 fillId="0" borderId="0"/>
  </cellStyleXfs>
  <cellXfs count="329">
    <xf numFmtId="0" fontId="0" fillId="0" borderId="0" xfId="0"/>
    <xf numFmtId="3" fontId="4" fillId="2" borderId="1" xfId="0" applyNumberFormat="1" applyFont="1" applyFill="1" applyBorder="1" applyAlignment="1" applyProtection="1">
      <alignment horizontal="center" vertical="center"/>
      <protection hidden="1"/>
    </xf>
    <xf numFmtId="0" fontId="4" fillId="2" borderId="1" xfId="0" applyFont="1" applyFill="1" applyBorder="1" applyAlignment="1" applyProtection="1">
      <alignment horizontal="center" vertical="center"/>
      <protection hidden="1"/>
    </xf>
    <xf numFmtId="0" fontId="4" fillId="2" borderId="1" xfId="0" applyFont="1" applyFill="1" applyBorder="1" applyAlignment="1" applyProtection="1">
      <alignment vertical="center" wrapText="1"/>
      <protection hidden="1"/>
    </xf>
    <xf numFmtId="164" fontId="4" fillId="2" borderId="1" xfId="1" applyNumberFormat="1" applyFont="1" applyFill="1" applyBorder="1" applyAlignment="1" applyProtection="1">
      <alignment horizontal="center" vertical="center"/>
      <protection hidden="1"/>
    </xf>
    <xf numFmtId="0" fontId="8" fillId="4" borderId="0" xfId="0" applyFont="1" applyFill="1" applyAlignment="1" applyProtection="1">
      <alignment vertical="center"/>
      <protection hidden="1"/>
    </xf>
    <xf numFmtId="44" fontId="4" fillId="2" borderId="1" xfId="1" applyFont="1" applyFill="1" applyBorder="1" applyAlignment="1" applyProtection="1">
      <alignment horizontal="center" vertical="center"/>
      <protection hidden="1"/>
    </xf>
    <xf numFmtId="165" fontId="4" fillId="2" borderId="1" xfId="0" applyNumberFormat="1" applyFont="1" applyFill="1" applyBorder="1" applyAlignment="1" applyProtection="1">
      <alignment horizontal="center" vertical="center"/>
      <protection hidden="1"/>
    </xf>
    <xf numFmtId="4" fontId="4" fillId="2" borderId="1" xfId="0" applyNumberFormat="1" applyFont="1" applyFill="1" applyBorder="1" applyAlignment="1" applyProtection="1">
      <alignment horizontal="center" vertical="center"/>
      <protection hidden="1"/>
    </xf>
    <xf numFmtId="9" fontId="4" fillId="9" borderId="1" xfId="2" applyFont="1" applyFill="1" applyBorder="1" applyAlignment="1" applyProtection="1">
      <alignment horizontal="center" vertical="center"/>
      <protection hidden="1"/>
    </xf>
    <xf numFmtId="165" fontId="4" fillId="9" borderId="1" xfId="0" applyNumberFormat="1"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10" fillId="2" borderId="1" xfId="0" applyFont="1" applyFill="1" applyBorder="1" applyAlignment="1" applyProtection="1">
      <alignment horizontal="center" vertical="center"/>
      <protection hidden="1"/>
    </xf>
    <xf numFmtId="0" fontId="4" fillId="2" borderId="1" xfId="0" applyFont="1" applyFill="1" applyBorder="1" applyAlignment="1">
      <alignment vertical="center"/>
    </xf>
    <xf numFmtId="2" fontId="4" fillId="2" borderId="1" xfId="0" applyNumberFormat="1" applyFont="1" applyFill="1" applyBorder="1" applyAlignment="1" applyProtection="1">
      <alignment horizontal="center" vertical="center"/>
      <protection hidden="1"/>
    </xf>
    <xf numFmtId="0" fontId="5" fillId="2" borderId="1" xfId="0" applyFont="1" applyFill="1" applyBorder="1" applyAlignment="1">
      <alignment vertical="center"/>
    </xf>
    <xf numFmtId="3" fontId="5" fillId="2" borderId="1" xfId="0" applyNumberFormat="1" applyFont="1" applyFill="1" applyBorder="1" applyAlignment="1" applyProtection="1">
      <alignment horizontal="center" vertical="center"/>
      <protection hidden="1"/>
    </xf>
    <xf numFmtId="3" fontId="5" fillId="8" borderId="1" xfId="0" applyNumberFormat="1" applyFont="1" applyFill="1" applyBorder="1" applyAlignment="1" applyProtection="1">
      <alignment horizontal="center" vertical="center"/>
      <protection hidden="1"/>
    </xf>
    <xf numFmtId="0" fontId="4" fillId="8" borderId="2" xfId="0" applyFont="1" applyFill="1" applyBorder="1" applyAlignment="1" applyProtection="1">
      <alignment horizontal="center" vertical="center"/>
      <protection hidden="1"/>
    </xf>
    <xf numFmtId="0" fontId="10" fillId="8" borderId="1" xfId="0" applyFont="1" applyFill="1" applyBorder="1" applyAlignment="1" applyProtection="1">
      <alignment horizontal="center" vertical="center"/>
      <protection hidden="1"/>
    </xf>
    <xf numFmtId="0" fontId="4" fillId="8" borderId="1" xfId="0" applyFont="1" applyFill="1" applyBorder="1" applyAlignment="1" applyProtection="1">
      <alignment horizontal="center" vertical="center"/>
      <protection hidden="1"/>
    </xf>
    <xf numFmtId="44" fontId="4" fillId="8" borderId="1" xfId="1" applyFont="1" applyFill="1" applyBorder="1" applyAlignment="1" applyProtection="1">
      <alignment horizontal="center" vertical="center"/>
      <protection hidden="1"/>
    </xf>
    <xf numFmtId="3" fontId="5" fillId="7" borderId="1" xfId="0" applyNumberFormat="1" applyFont="1" applyFill="1" applyBorder="1" applyAlignment="1" applyProtection="1">
      <alignment horizontal="center" vertical="center"/>
      <protection hidden="1"/>
    </xf>
    <xf numFmtId="0" fontId="4" fillId="7" borderId="2" xfId="0" applyFont="1" applyFill="1" applyBorder="1" applyAlignment="1" applyProtection="1">
      <alignment horizontal="center" vertical="center"/>
      <protection hidden="1"/>
    </xf>
    <xf numFmtId="0" fontId="10" fillId="7" borderId="1" xfId="0" applyFont="1" applyFill="1" applyBorder="1" applyAlignment="1" applyProtection="1">
      <alignment horizontal="center" vertical="center"/>
      <protection hidden="1"/>
    </xf>
    <xf numFmtId="3" fontId="4" fillId="8" borderId="1" xfId="0" applyNumberFormat="1" applyFont="1" applyFill="1" applyBorder="1" applyAlignment="1" applyProtection="1">
      <alignment horizontal="center" vertical="center"/>
      <protection hidden="1"/>
    </xf>
    <xf numFmtId="0" fontId="11" fillId="4" borderId="0" xfId="0" applyFont="1" applyFill="1" applyAlignment="1">
      <alignment vertical="center"/>
    </xf>
    <xf numFmtId="0" fontId="5" fillId="2" borderId="1" xfId="0" applyFont="1" applyFill="1" applyBorder="1" applyAlignment="1" applyProtection="1">
      <alignment horizontal="center" vertical="center"/>
      <protection hidden="1"/>
    </xf>
    <xf numFmtId="168" fontId="4" fillId="2" borderId="1" xfId="0" applyNumberFormat="1" applyFont="1" applyFill="1" applyBorder="1" applyAlignment="1" applyProtection="1">
      <alignment horizontal="center" vertical="center"/>
      <protection hidden="1"/>
    </xf>
    <xf numFmtId="44" fontId="4" fillId="2" borderId="1" xfId="1"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4" fontId="5" fillId="2" borderId="1" xfId="1" applyFont="1" applyFill="1" applyBorder="1" applyAlignment="1" applyProtection="1">
      <alignment horizontal="center" vertical="center"/>
      <protection hidden="1"/>
    </xf>
    <xf numFmtId="0" fontId="5" fillId="8" borderId="1" xfId="0" applyFont="1" applyFill="1" applyBorder="1" applyAlignment="1">
      <alignment vertical="center"/>
    </xf>
    <xf numFmtId="0" fontId="4" fillId="4" borderId="0" xfId="0" applyFont="1" applyFill="1" applyAlignment="1" applyProtection="1">
      <alignment vertical="center" wrapText="1"/>
      <protection hidden="1"/>
    </xf>
    <xf numFmtId="0" fontId="4" fillId="2" borderId="0" xfId="0" applyFont="1" applyFill="1" applyAlignment="1" applyProtection="1">
      <alignment vertical="center"/>
      <protection hidden="1"/>
    </xf>
    <xf numFmtId="2" fontId="4" fillId="2" borderId="0" xfId="0" applyNumberFormat="1" applyFont="1" applyFill="1" applyAlignment="1" applyProtection="1">
      <alignment vertical="center"/>
      <protection hidden="1"/>
    </xf>
    <xf numFmtId="4" fontId="4" fillId="2" borderId="0" xfId="0" applyNumberFormat="1" applyFont="1" applyFill="1" applyAlignment="1" applyProtection="1">
      <alignment horizontal="center" vertical="center"/>
      <protection hidden="1"/>
    </xf>
    <xf numFmtId="0" fontId="4" fillId="2" borderId="0" xfId="0" applyFont="1" applyFill="1" applyAlignment="1" applyProtection="1">
      <alignment horizontal="center" vertical="center"/>
      <protection hidden="1"/>
    </xf>
    <xf numFmtId="3" fontId="4" fillId="2" borderId="0" xfId="0" applyNumberFormat="1" applyFont="1" applyFill="1" applyAlignment="1" applyProtection="1">
      <alignment horizontal="center" vertical="center"/>
      <protection hidden="1"/>
    </xf>
    <xf numFmtId="167" fontId="4" fillId="2" borderId="0" xfId="0" applyNumberFormat="1" applyFont="1" applyFill="1" applyAlignment="1" applyProtection="1">
      <alignment vertical="center"/>
      <protection hidden="1"/>
    </xf>
    <xf numFmtId="0" fontId="0" fillId="2" borderId="0" xfId="0" applyFill="1" applyAlignment="1">
      <alignment vertical="center"/>
    </xf>
    <xf numFmtId="0" fontId="4" fillId="2" borderId="0" xfId="0" applyFont="1" applyFill="1" applyAlignment="1" applyProtection="1">
      <alignment vertical="center" wrapText="1"/>
      <protection hidden="1"/>
    </xf>
    <xf numFmtId="3" fontId="5" fillId="3" borderId="1" xfId="0" applyNumberFormat="1" applyFont="1" applyFill="1" applyBorder="1" applyAlignment="1" applyProtection="1">
      <alignment horizontal="center" vertical="center"/>
      <protection hidden="1"/>
    </xf>
    <xf numFmtId="0" fontId="4" fillId="3" borderId="2" xfId="0" applyFont="1" applyFill="1" applyBorder="1" applyAlignment="1" applyProtection="1">
      <alignment horizontal="center" vertical="center"/>
      <protection hidden="1"/>
    </xf>
    <xf numFmtId="0" fontId="10" fillId="3" borderId="1" xfId="0" applyFont="1" applyFill="1" applyBorder="1" applyAlignment="1" applyProtection="1">
      <alignment horizontal="center" vertical="center"/>
      <protection hidden="1"/>
    </xf>
    <xf numFmtId="3" fontId="4" fillId="3" borderId="1" xfId="0" applyNumberFormat="1" applyFont="1" applyFill="1" applyBorder="1" applyAlignment="1" applyProtection="1">
      <alignment horizontal="center" vertical="center"/>
      <protection hidden="1"/>
    </xf>
    <xf numFmtId="0" fontId="5" fillId="3" borderId="1" xfId="0" applyFont="1" applyFill="1" applyBorder="1" applyAlignment="1">
      <alignment vertical="center"/>
    </xf>
    <xf numFmtId="0" fontId="4" fillId="3" borderId="1" xfId="0" applyFont="1" applyFill="1" applyBorder="1" applyAlignment="1" applyProtection="1">
      <alignment horizontal="center" vertical="center"/>
      <protection hidden="1"/>
    </xf>
    <xf numFmtId="44" fontId="4" fillId="3" borderId="1" xfId="1" applyFont="1" applyFill="1" applyBorder="1" applyAlignment="1" applyProtection="1">
      <alignment horizontal="center" vertical="center"/>
      <protection hidden="1"/>
    </xf>
    <xf numFmtId="0" fontId="12" fillId="2" borderId="0" xfId="0" applyFont="1" applyFill="1" applyAlignment="1" applyProtection="1">
      <alignment horizontal="left" vertical="center"/>
      <protection hidden="1"/>
    </xf>
    <xf numFmtId="0" fontId="12" fillId="2" borderId="0" xfId="0" applyFont="1" applyFill="1" applyAlignment="1" applyProtection="1">
      <alignment vertical="center"/>
      <protection hidden="1"/>
    </xf>
    <xf numFmtId="0" fontId="9" fillId="2" borderId="0" xfId="0" applyFont="1" applyFill="1" applyAlignment="1" applyProtection="1">
      <alignment horizontal="center" vertical="center"/>
      <protection hidden="1"/>
    </xf>
    <xf numFmtId="44" fontId="9" fillId="2" borderId="0" xfId="0" applyNumberFormat="1" applyFont="1" applyFill="1" applyAlignment="1" applyProtection="1">
      <alignment horizontal="center" vertical="center"/>
      <protection hidden="1"/>
    </xf>
    <xf numFmtId="0" fontId="9" fillId="2" borderId="0" xfId="0" applyFont="1" applyFill="1" applyAlignment="1" applyProtection="1">
      <alignment horizontal="left" vertical="center"/>
      <protection hidden="1"/>
    </xf>
    <xf numFmtId="4" fontId="5" fillId="3" borderId="1" xfId="0" applyNumberFormat="1" applyFont="1" applyFill="1" applyBorder="1" applyAlignment="1" applyProtection="1">
      <alignment horizontal="center" vertical="center"/>
      <protection hidden="1"/>
    </xf>
    <xf numFmtId="165" fontId="5" fillId="3" borderId="1" xfId="0" applyNumberFormat="1" applyFont="1" applyFill="1" applyBorder="1" applyAlignment="1" applyProtection="1">
      <alignment horizontal="center" vertical="center"/>
      <protection hidden="1"/>
    </xf>
    <xf numFmtId="0" fontId="5" fillId="3" borderId="2" xfId="0" applyFont="1" applyFill="1" applyBorder="1" applyAlignment="1" applyProtection="1">
      <alignment horizontal="center" vertical="center"/>
      <protection hidden="1"/>
    </xf>
    <xf numFmtId="0" fontId="14" fillId="3" borderId="1" xfId="0" applyFont="1" applyFill="1" applyBorder="1" applyAlignment="1" applyProtection="1">
      <alignment horizontal="center" vertical="center"/>
      <protection hidden="1"/>
    </xf>
    <xf numFmtId="44" fontId="4" fillId="2" borderId="0" xfId="0" applyNumberFormat="1" applyFont="1" applyFill="1" applyAlignment="1" applyProtection="1">
      <alignment vertical="center"/>
      <protection hidden="1"/>
    </xf>
    <xf numFmtId="0" fontId="9" fillId="2" borderId="0" xfId="0" applyFont="1" applyFill="1" applyAlignment="1" applyProtection="1">
      <alignment vertical="center"/>
      <protection hidden="1"/>
    </xf>
    <xf numFmtId="164" fontId="4" fillId="2" borderId="0" xfId="0" applyNumberFormat="1" applyFont="1" applyFill="1" applyAlignment="1" applyProtection="1">
      <alignment vertical="center"/>
      <protection hidden="1"/>
    </xf>
    <xf numFmtId="164" fontId="4" fillId="2" borderId="0" xfId="1" applyNumberFormat="1" applyFont="1" applyFill="1" applyAlignment="1" applyProtection="1">
      <alignment vertical="center"/>
      <protection hidden="1"/>
    </xf>
    <xf numFmtId="164" fontId="5" fillId="3" borderId="1" xfId="1" applyNumberFormat="1" applyFont="1" applyFill="1" applyBorder="1" applyAlignment="1" applyProtection="1">
      <alignment horizontal="center" vertical="center"/>
      <protection hidden="1"/>
    </xf>
    <xf numFmtId="1" fontId="9" fillId="2" borderId="0" xfId="0" applyNumberFormat="1" applyFont="1" applyFill="1" applyAlignment="1" applyProtection="1">
      <alignment horizontal="center" vertical="center"/>
      <protection hidden="1"/>
    </xf>
    <xf numFmtId="2" fontId="9" fillId="2" borderId="0" xfId="0" applyNumberFormat="1" applyFont="1" applyFill="1" applyAlignment="1" applyProtection="1">
      <alignment horizontal="center" vertical="center"/>
      <protection hidden="1"/>
    </xf>
    <xf numFmtId="3" fontId="9" fillId="2" borderId="0" xfId="0" applyNumberFormat="1" applyFont="1" applyFill="1" applyAlignment="1" applyProtection="1">
      <alignment horizontal="center" vertical="center"/>
      <protection hidden="1"/>
    </xf>
    <xf numFmtId="4" fontId="9" fillId="2" borderId="0" xfId="0" applyNumberFormat="1" applyFont="1" applyFill="1" applyAlignment="1" applyProtection="1">
      <alignment horizontal="center" vertical="center"/>
      <protection hidden="1"/>
    </xf>
    <xf numFmtId="169" fontId="9" fillId="2" borderId="0" xfId="0" applyNumberFormat="1" applyFont="1" applyFill="1" applyAlignment="1" applyProtection="1">
      <alignment horizontal="center" vertical="center"/>
      <protection hidden="1"/>
    </xf>
    <xf numFmtId="44" fontId="13" fillId="2" borderId="0" xfId="0" applyNumberFormat="1" applyFont="1" applyFill="1" applyAlignment="1" applyProtection="1">
      <alignment horizontal="center" vertical="center"/>
      <protection hidden="1"/>
    </xf>
    <xf numFmtId="170" fontId="9" fillId="2" borderId="0" xfId="3" applyNumberFormat="1" applyFont="1" applyFill="1" applyAlignment="1" applyProtection="1">
      <alignment horizontal="center" vertical="center"/>
      <protection hidden="1"/>
    </xf>
    <xf numFmtId="164" fontId="9" fillId="2" borderId="0" xfId="1" applyNumberFormat="1" applyFont="1" applyFill="1" applyAlignment="1" applyProtection="1">
      <alignment horizontal="center" vertical="center"/>
      <protection hidden="1"/>
    </xf>
    <xf numFmtId="44" fontId="9" fillId="2" borderId="0" xfId="1" applyFont="1" applyFill="1" applyAlignment="1" applyProtection="1">
      <alignment horizontal="center" vertical="center"/>
      <protection hidden="1"/>
    </xf>
    <xf numFmtId="44" fontId="13" fillId="2" borderId="0" xfId="1" applyFont="1" applyFill="1" applyAlignment="1" applyProtection="1">
      <alignment horizontal="center" vertical="center"/>
      <protection hidden="1"/>
    </xf>
    <xf numFmtId="2" fontId="13" fillId="2" borderId="0" xfId="0" applyNumberFormat="1" applyFont="1" applyFill="1" applyAlignment="1" applyProtection="1">
      <alignment horizontal="center" vertical="center"/>
      <protection hidden="1"/>
    </xf>
    <xf numFmtId="0" fontId="6" fillId="4" borderId="0" xfId="0" applyFont="1" applyFill="1" applyAlignment="1">
      <alignment vertical="center" wrapText="1"/>
    </xf>
    <xf numFmtId="0" fontId="4" fillId="2" borderId="0" xfId="0" applyFont="1" applyFill="1" applyAlignment="1">
      <alignment vertical="center"/>
    </xf>
    <xf numFmtId="0" fontId="5" fillId="7" borderId="1" xfId="0" applyFont="1" applyFill="1" applyBorder="1" applyAlignment="1">
      <alignment vertical="center"/>
    </xf>
    <xf numFmtId="0" fontId="12" fillId="7" borderId="1" xfId="0" applyFont="1" applyFill="1" applyBorder="1" applyAlignment="1">
      <alignment vertical="center"/>
    </xf>
    <xf numFmtId="0" fontId="12" fillId="3" borderId="1" xfId="0" applyFont="1" applyFill="1" applyBorder="1" applyAlignment="1">
      <alignment vertical="center"/>
    </xf>
    <xf numFmtId="0" fontId="12" fillId="2" borderId="1" xfId="0" applyFont="1" applyFill="1" applyBorder="1" applyAlignment="1">
      <alignment vertical="center"/>
    </xf>
    <xf numFmtId="0" fontId="12" fillId="8" borderId="1" xfId="0" applyFont="1" applyFill="1" applyBorder="1" applyAlignment="1">
      <alignment vertical="center"/>
    </xf>
    <xf numFmtId="0" fontId="15" fillId="3" borderId="1" xfId="0" applyFont="1" applyFill="1" applyBorder="1" applyAlignment="1">
      <alignment vertical="center"/>
    </xf>
    <xf numFmtId="0" fontId="4" fillId="2" borderId="1" xfId="0" applyFont="1" applyFill="1" applyBorder="1" applyAlignment="1">
      <alignment vertical="center" wrapText="1"/>
    </xf>
    <xf numFmtId="0" fontId="5" fillId="3" borderId="1" xfId="0" applyFont="1" applyFill="1" applyBorder="1" applyAlignment="1">
      <alignment vertical="center" wrapText="1"/>
    </xf>
    <xf numFmtId="0" fontId="12" fillId="2" borderId="1" xfId="0" applyFont="1" applyFill="1" applyBorder="1" applyAlignment="1">
      <alignment vertical="center" wrapText="1"/>
    </xf>
    <xf numFmtId="9" fontId="9" fillId="2" borderId="0" xfId="2" applyFont="1" applyFill="1" applyAlignment="1" applyProtection="1">
      <alignment vertical="center"/>
      <protection hidden="1"/>
    </xf>
    <xf numFmtId="171" fontId="9" fillId="2" borderId="0" xfId="1" applyNumberFormat="1" applyFont="1" applyFill="1" applyAlignment="1" applyProtection="1">
      <alignment vertical="center"/>
      <protection hidden="1"/>
    </xf>
    <xf numFmtId="164" fontId="9" fillId="2" borderId="0" xfId="0" applyNumberFormat="1" applyFont="1" applyFill="1" applyAlignment="1" applyProtection="1">
      <alignment horizontal="left" vertical="center"/>
      <protection hidden="1"/>
    </xf>
    <xf numFmtId="3" fontId="9" fillId="2" borderId="0" xfId="0" applyNumberFormat="1" applyFont="1" applyFill="1" applyAlignment="1" applyProtection="1">
      <alignment vertical="center"/>
      <protection hidden="1"/>
    </xf>
    <xf numFmtId="0" fontId="4" fillId="2" borderId="4" xfId="0" applyFont="1" applyFill="1" applyBorder="1" applyAlignment="1">
      <alignment vertical="center"/>
    </xf>
    <xf numFmtId="164" fontId="4" fillId="2" borderId="4" xfId="1" applyNumberFormat="1" applyFont="1" applyFill="1" applyBorder="1" applyAlignment="1" applyProtection="1">
      <alignment horizontal="center" vertical="center"/>
      <protection hidden="1"/>
    </xf>
    <xf numFmtId="0" fontId="4" fillId="2" borderId="4" xfId="0" applyFont="1" applyFill="1" applyBorder="1" applyAlignment="1" applyProtection="1">
      <alignment horizontal="center" vertical="center"/>
      <protection hidden="1"/>
    </xf>
    <xf numFmtId="44" fontId="4" fillId="2" borderId="4" xfId="1" applyFont="1" applyFill="1" applyBorder="1" applyAlignment="1" applyProtection="1">
      <alignment horizontal="center" vertical="center"/>
      <protection hidden="1"/>
    </xf>
    <xf numFmtId="0" fontId="12" fillId="2" borderId="4" xfId="0" applyFont="1" applyFill="1" applyBorder="1" applyAlignment="1">
      <alignment vertical="center"/>
    </xf>
    <xf numFmtId="0" fontId="5" fillId="8" borderId="3" xfId="0" applyFont="1" applyFill="1" applyBorder="1" applyAlignment="1">
      <alignment vertical="center"/>
    </xf>
    <xf numFmtId="164" fontId="5" fillId="8" borderId="3" xfId="1" applyNumberFormat="1" applyFont="1" applyFill="1" applyBorder="1" applyAlignment="1" applyProtection="1">
      <alignment horizontal="center" vertical="center"/>
      <protection hidden="1"/>
    </xf>
    <xf numFmtId="0" fontId="4" fillId="8" borderId="3" xfId="0" applyFont="1" applyFill="1" applyBorder="1" applyAlignment="1" applyProtection="1">
      <alignment horizontal="center" vertical="center"/>
      <protection hidden="1"/>
    </xf>
    <xf numFmtId="44" fontId="4" fillId="8" borderId="3" xfId="1" applyFont="1" applyFill="1" applyBorder="1" applyAlignment="1" applyProtection="1">
      <alignment horizontal="center" vertical="center"/>
      <protection hidden="1"/>
    </xf>
    <xf numFmtId="0" fontId="12" fillId="8" borderId="3" xfId="0" applyFont="1" applyFill="1" applyBorder="1" applyAlignment="1">
      <alignment vertical="center"/>
    </xf>
    <xf numFmtId="44" fontId="5" fillId="8" borderId="3" xfId="1" applyFont="1" applyFill="1" applyBorder="1" applyAlignment="1" applyProtection="1">
      <alignment horizontal="center" vertical="center"/>
      <protection hidden="1"/>
    </xf>
    <xf numFmtId="0" fontId="5" fillId="2" borderId="5" xfId="0" applyFont="1" applyFill="1" applyBorder="1" applyAlignment="1">
      <alignment vertical="center"/>
    </xf>
    <xf numFmtId="0" fontId="4" fillId="2" borderId="5" xfId="0" applyFont="1" applyFill="1" applyBorder="1" applyAlignment="1" applyProtection="1">
      <alignment horizontal="center" vertical="center"/>
      <protection hidden="1"/>
    </xf>
    <xf numFmtId="44" fontId="4" fillId="2" borderId="5" xfId="1" applyFont="1" applyFill="1" applyBorder="1" applyAlignment="1" applyProtection="1">
      <alignment horizontal="center" vertical="center"/>
      <protection hidden="1"/>
    </xf>
    <xf numFmtId="0" fontId="12" fillId="2" borderId="5" xfId="0" applyFont="1" applyFill="1" applyBorder="1" applyAlignment="1">
      <alignment vertical="center"/>
    </xf>
    <xf numFmtId="0" fontId="5" fillId="8" borderId="3" xfId="0" applyFont="1" applyFill="1" applyBorder="1" applyAlignment="1" applyProtection="1">
      <alignment horizontal="center" vertical="center"/>
      <protection hidden="1"/>
    </xf>
    <xf numFmtId="0" fontId="15" fillId="8" borderId="3" xfId="0" applyFont="1" applyFill="1" applyBorder="1" applyAlignment="1">
      <alignment vertical="center"/>
    </xf>
    <xf numFmtId="0" fontId="4" fillId="2" borderId="4" xfId="0" applyFont="1" applyFill="1" applyBorder="1" applyAlignment="1">
      <alignment vertical="center" wrapText="1"/>
    </xf>
    <xf numFmtId="3" fontId="5" fillId="8" borderId="3" xfId="0" applyNumberFormat="1" applyFont="1" applyFill="1" applyBorder="1" applyAlignment="1" applyProtection="1">
      <alignment horizontal="center" vertical="center"/>
      <protection hidden="1"/>
    </xf>
    <xf numFmtId="4" fontId="4" fillId="2" borderId="4" xfId="0" applyNumberFormat="1" applyFont="1" applyFill="1" applyBorder="1" applyAlignment="1" applyProtection="1">
      <alignment horizontal="center" vertical="center"/>
      <protection hidden="1"/>
    </xf>
    <xf numFmtId="0" fontId="10" fillId="2" borderId="4" xfId="0" applyFont="1" applyFill="1" applyBorder="1" applyAlignment="1" applyProtection="1">
      <alignment horizontal="center" vertical="center"/>
      <protection hidden="1"/>
    </xf>
    <xf numFmtId="0" fontId="4" fillId="2" borderId="6" xfId="0" applyFont="1" applyFill="1" applyBorder="1" applyAlignment="1">
      <alignment vertical="center"/>
    </xf>
    <xf numFmtId="4" fontId="4" fillId="2" borderId="6" xfId="0" applyNumberFormat="1"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10" fillId="2" borderId="6" xfId="0" applyFont="1" applyFill="1" applyBorder="1" applyAlignment="1" applyProtection="1">
      <alignment horizontal="center" vertical="center"/>
      <protection hidden="1"/>
    </xf>
    <xf numFmtId="0" fontId="12" fillId="2" borderId="6" xfId="0" applyFont="1" applyFill="1" applyBorder="1" applyAlignment="1">
      <alignment vertical="center"/>
    </xf>
    <xf numFmtId="0" fontId="5" fillId="8" borderId="3" xfId="0" applyFont="1" applyFill="1" applyBorder="1" applyAlignment="1">
      <alignment vertical="center" wrapText="1"/>
    </xf>
    <xf numFmtId="4" fontId="5" fillId="8" borderId="3" xfId="0" applyNumberFormat="1" applyFont="1" applyFill="1" applyBorder="1" applyAlignment="1" applyProtection="1">
      <alignment horizontal="center" vertical="center"/>
      <protection hidden="1"/>
    </xf>
    <xf numFmtId="0" fontId="10" fillId="8" borderId="3" xfId="0" applyFont="1" applyFill="1" applyBorder="1" applyAlignment="1" applyProtection="1">
      <alignment horizontal="center" vertical="center"/>
      <protection hidden="1"/>
    </xf>
    <xf numFmtId="44" fontId="4" fillId="2" borderId="4" xfId="1" applyFont="1" applyFill="1" applyBorder="1" applyAlignment="1" applyProtection="1">
      <alignment horizontal="center" vertical="center" wrapText="1"/>
      <protection hidden="1"/>
    </xf>
    <xf numFmtId="44" fontId="4" fillId="2" borderId="6" xfId="1" applyFont="1" applyFill="1" applyBorder="1" applyAlignment="1" applyProtection="1">
      <alignment horizontal="center" vertical="center" wrapText="1"/>
      <protection hidden="1"/>
    </xf>
    <xf numFmtId="44" fontId="4" fillId="2" borderId="6" xfId="1" applyFont="1" applyFill="1" applyBorder="1" applyAlignment="1" applyProtection="1">
      <alignment horizontal="center" vertical="center"/>
      <protection hidden="1"/>
    </xf>
    <xf numFmtId="0" fontId="12" fillId="8" borderId="8" xfId="0" applyFont="1" applyFill="1" applyBorder="1" applyAlignment="1">
      <alignment vertical="center"/>
    </xf>
    <xf numFmtId="44" fontId="5" fillId="8" borderId="3" xfId="1" applyFont="1" applyFill="1" applyBorder="1" applyAlignment="1" applyProtection="1">
      <alignment horizontal="center" vertical="center" wrapText="1"/>
      <protection hidden="1"/>
    </xf>
    <xf numFmtId="9" fontId="9" fillId="2" borderId="0" xfId="2" applyFont="1" applyFill="1" applyAlignment="1" applyProtection="1">
      <alignment horizontal="center" vertical="center"/>
      <protection hidden="1"/>
    </xf>
    <xf numFmtId="164" fontId="4" fillId="9" borderId="1" xfId="1" applyNumberFormat="1" applyFont="1" applyFill="1" applyBorder="1" applyAlignment="1" applyProtection="1">
      <alignment horizontal="center" vertical="center"/>
      <protection hidden="1"/>
    </xf>
    <xf numFmtId="164" fontId="4" fillId="8" borderId="3" xfId="1" applyNumberFormat="1" applyFont="1" applyFill="1" applyBorder="1" applyAlignment="1" applyProtection="1">
      <alignment horizontal="center" vertical="center"/>
      <protection hidden="1"/>
    </xf>
    <xf numFmtId="44" fontId="4" fillId="3" borderId="6" xfId="1" applyFont="1" applyFill="1" applyBorder="1" applyAlignment="1" applyProtection="1">
      <alignment horizontal="center" vertical="center"/>
      <protection hidden="1"/>
    </xf>
    <xf numFmtId="0" fontId="4" fillId="8" borderId="7" xfId="0" applyFont="1" applyFill="1" applyBorder="1" applyAlignment="1" applyProtection="1">
      <alignment horizontal="center" vertical="center"/>
      <protection hidden="1"/>
    </xf>
    <xf numFmtId="0" fontId="8" fillId="4" borderId="0" xfId="0" applyFont="1" applyFill="1" applyAlignment="1" applyProtection="1">
      <alignment horizontal="center" vertical="center" wrapText="1"/>
      <protection hidden="1"/>
    </xf>
    <xf numFmtId="0" fontId="8" fillId="5" borderId="0" xfId="0" applyFont="1" applyFill="1" applyAlignment="1" applyProtection="1">
      <alignment vertical="center"/>
      <protection hidden="1"/>
    </xf>
    <xf numFmtId="0" fontId="8" fillId="5" borderId="0" xfId="0" applyFont="1" applyFill="1" applyAlignment="1" applyProtection="1">
      <alignment horizontal="center" vertical="center" wrapText="1"/>
      <protection hidden="1"/>
    </xf>
    <xf numFmtId="172" fontId="9" fillId="2" borderId="0" xfId="3" applyNumberFormat="1" applyFont="1" applyFill="1" applyAlignment="1" applyProtection="1">
      <alignment horizontal="center" vertical="center"/>
      <protection hidden="1"/>
    </xf>
    <xf numFmtId="164" fontId="9" fillId="2" borderId="0" xfId="0" applyNumberFormat="1" applyFont="1" applyFill="1" applyAlignment="1" applyProtection="1">
      <alignment horizontal="center" vertical="center"/>
      <protection hidden="1"/>
    </xf>
    <xf numFmtId="43" fontId="9" fillId="2" borderId="0" xfId="0" applyNumberFormat="1" applyFont="1" applyFill="1" applyAlignment="1" applyProtection="1">
      <alignment horizontal="center" vertical="center"/>
      <protection hidden="1"/>
    </xf>
    <xf numFmtId="0" fontId="6" fillId="5" borderId="1" xfId="0" applyFont="1" applyFill="1" applyBorder="1" applyAlignment="1">
      <alignment vertical="center"/>
    </xf>
    <xf numFmtId="0" fontId="6" fillId="5" borderId="1" xfId="0" applyFont="1" applyFill="1" applyBorder="1" applyAlignment="1">
      <alignment horizontal="center" vertical="center"/>
    </xf>
    <xf numFmtId="3" fontId="4" fillId="2" borderId="6" xfId="0" applyNumberFormat="1" applyFont="1" applyFill="1" applyBorder="1" applyAlignment="1" applyProtection="1">
      <alignment horizontal="center" vertical="center"/>
      <protection hidden="1"/>
    </xf>
    <xf numFmtId="44" fontId="4" fillId="9" borderId="1" xfId="1" applyFont="1" applyFill="1" applyBorder="1" applyAlignment="1" applyProtection="1">
      <alignment horizontal="center" vertical="center"/>
      <protection hidden="1"/>
    </xf>
    <xf numFmtId="166" fontId="4" fillId="9" borderId="1" xfId="2" applyNumberFormat="1" applyFont="1" applyFill="1" applyBorder="1" applyAlignment="1" applyProtection="1">
      <alignment horizontal="center" vertical="center"/>
      <protection hidden="1"/>
    </xf>
    <xf numFmtId="165" fontId="5" fillId="2" borderId="1" xfId="0" applyNumberFormat="1" applyFont="1" applyFill="1" applyBorder="1" applyAlignment="1" applyProtection="1">
      <alignment horizontal="center" vertical="center"/>
      <protection hidden="1"/>
    </xf>
    <xf numFmtId="0" fontId="15" fillId="2" borderId="1" xfId="0" applyFont="1" applyFill="1" applyBorder="1" applyAlignment="1">
      <alignment vertical="center"/>
    </xf>
    <xf numFmtId="9" fontId="5" fillId="8" borderId="3" xfId="2" applyFont="1" applyFill="1" applyBorder="1" applyAlignment="1" applyProtection="1">
      <alignment horizontal="center" vertical="center"/>
      <protection hidden="1"/>
    </xf>
    <xf numFmtId="0" fontId="4" fillId="8" borderId="3" xfId="0" applyFont="1" applyFill="1" applyBorder="1" applyAlignment="1">
      <alignment vertical="center"/>
    </xf>
    <xf numFmtId="0" fontId="18" fillId="5" borderId="1" xfId="0" applyFont="1" applyFill="1" applyBorder="1" applyAlignment="1">
      <alignment vertical="center"/>
    </xf>
    <xf numFmtId="164" fontId="4" fillId="2" borderId="5" xfId="1" applyNumberFormat="1" applyFont="1" applyFill="1" applyBorder="1" applyAlignment="1" applyProtection="1">
      <alignment horizontal="center" vertical="center"/>
      <protection hidden="1"/>
    </xf>
    <xf numFmtId="3" fontId="4" fillId="2" borderId="4" xfId="0" applyNumberFormat="1" applyFont="1" applyFill="1" applyBorder="1" applyAlignment="1" applyProtection="1">
      <alignment horizontal="center" vertical="center"/>
      <protection hidden="1"/>
    </xf>
    <xf numFmtId="164" fontId="4" fillId="2" borderId="1" xfId="1" applyNumberFormat="1" applyFont="1" applyFill="1" applyBorder="1" applyAlignment="1" applyProtection="1">
      <alignment horizontal="center" vertical="center"/>
    </xf>
    <xf numFmtId="164" fontId="19" fillId="2" borderId="1" xfId="1" applyNumberFormat="1" applyFont="1" applyFill="1" applyBorder="1" applyAlignment="1" applyProtection="1">
      <alignment horizontal="center" vertical="center"/>
    </xf>
    <xf numFmtId="9" fontId="19" fillId="2" borderId="1" xfId="2" applyFont="1" applyFill="1" applyBorder="1" applyAlignment="1" applyProtection="1">
      <alignment horizontal="center" vertical="center"/>
    </xf>
    <xf numFmtId="44" fontId="19" fillId="2" borderId="1" xfId="1" applyFont="1" applyFill="1" applyBorder="1" applyAlignment="1" applyProtection="1">
      <alignment horizontal="center" vertical="center"/>
    </xf>
    <xf numFmtId="44" fontId="19" fillId="2" borderId="0" xfId="1" applyFont="1" applyFill="1" applyBorder="1" applyAlignment="1" applyProtection="1">
      <alignment horizontal="center" vertical="center"/>
    </xf>
    <xf numFmtId="9" fontId="5" fillId="8" borderId="14" xfId="2" applyFont="1" applyFill="1" applyBorder="1" applyAlignment="1" applyProtection="1">
      <alignment horizontal="center" vertical="center"/>
    </xf>
    <xf numFmtId="164" fontId="5" fillId="8" borderId="13" xfId="2" applyNumberFormat="1" applyFont="1" applyFill="1" applyBorder="1" applyAlignment="1" applyProtection="1">
      <alignment horizontal="center" vertical="center"/>
    </xf>
    <xf numFmtId="3" fontId="4" fillId="2" borderId="0" xfId="0" applyNumberFormat="1" applyFont="1" applyFill="1" applyAlignment="1">
      <alignment horizontal="center" vertical="center"/>
    </xf>
    <xf numFmtId="3" fontId="9" fillId="2" borderId="0" xfId="0" applyNumberFormat="1" applyFont="1" applyFill="1" applyAlignment="1">
      <alignment horizontal="center" vertical="center"/>
    </xf>
    <xf numFmtId="0" fontId="9" fillId="2" borderId="0" xfId="0" applyFont="1" applyFill="1" applyAlignment="1">
      <alignment horizontal="center" vertical="center"/>
    </xf>
    <xf numFmtId="0" fontId="12" fillId="2" borderId="0" xfId="0" applyFont="1" applyFill="1" applyAlignment="1">
      <alignment horizontal="left" vertical="center"/>
    </xf>
    <xf numFmtId="0" fontId="12" fillId="2" borderId="0" xfId="0" applyFont="1" applyFill="1" applyAlignment="1">
      <alignment vertical="center"/>
    </xf>
    <xf numFmtId="0" fontId="4" fillId="2" borderId="0" xfId="0" applyFont="1" applyFill="1" applyAlignment="1">
      <alignment horizontal="center" vertical="center"/>
    </xf>
    <xf numFmtId="2" fontId="4" fillId="2" borderId="0" xfId="0" applyNumberFormat="1" applyFont="1" applyFill="1" applyAlignment="1">
      <alignment vertical="center"/>
    </xf>
    <xf numFmtId="4" fontId="4" fillId="2" borderId="0" xfId="0" applyNumberFormat="1" applyFont="1" applyFill="1" applyAlignment="1">
      <alignment horizontal="center" vertical="center"/>
    </xf>
    <xf numFmtId="0" fontId="1" fillId="2" borderId="0" xfId="0" applyFont="1" applyFill="1" applyAlignment="1">
      <alignment vertical="center"/>
    </xf>
    <xf numFmtId="0" fontId="22" fillId="2" borderId="0" xfId="0" applyFont="1" applyFill="1" applyAlignment="1">
      <alignment vertical="center"/>
    </xf>
    <xf numFmtId="0" fontId="22" fillId="2" borderId="0" xfId="0" applyFont="1" applyFill="1" applyAlignment="1">
      <alignment horizontal="center" vertical="center" wrapText="1"/>
    </xf>
    <xf numFmtId="0" fontId="5" fillId="11" borderId="1" xfId="0" applyFont="1" applyFill="1" applyBorder="1" applyAlignment="1">
      <alignment vertical="center"/>
    </xf>
    <xf numFmtId="3" fontId="5" fillId="11" borderId="1" xfId="0" applyNumberFormat="1" applyFont="1" applyFill="1" applyBorder="1" applyAlignment="1">
      <alignment horizontal="center" vertical="center"/>
    </xf>
    <xf numFmtId="0" fontId="4" fillId="11" borderId="2" xfId="0" applyFont="1" applyFill="1" applyBorder="1" applyAlignment="1">
      <alignment horizontal="center" vertical="center"/>
    </xf>
    <xf numFmtId="0" fontId="12" fillId="11" borderId="1" xfId="0" applyFont="1" applyFill="1" applyBorder="1" applyAlignment="1">
      <alignment vertical="center"/>
    </xf>
    <xf numFmtId="3" fontId="5" fillId="3" borderId="1" xfId="0" applyNumberFormat="1" applyFont="1" applyFill="1" applyBorder="1" applyAlignment="1">
      <alignment horizontal="center" vertical="center"/>
    </xf>
    <xf numFmtId="0" fontId="4" fillId="3" borderId="2" xfId="0" applyFont="1" applyFill="1" applyBorder="1" applyAlignment="1">
      <alignment horizontal="center" vertical="center"/>
    </xf>
    <xf numFmtId="3" fontId="4" fillId="2" borderId="1"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23" fillId="2" borderId="0" xfId="0" applyFont="1" applyFill="1" applyAlignment="1">
      <alignment vertical="center"/>
    </xf>
    <xf numFmtId="0" fontId="21" fillId="2" borderId="1" xfId="0" applyFont="1" applyFill="1" applyBorder="1" applyAlignment="1">
      <alignment vertical="center"/>
    </xf>
    <xf numFmtId="3" fontId="5" fillId="2" borderId="1" xfId="0" applyNumberFormat="1" applyFont="1" applyFill="1" applyBorder="1" applyAlignment="1">
      <alignment horizontal="center" vertical="center"/>
    </xf>
    <xf numFmtId="0" fontId="19" fillId="2" borderId="0" xfId="0" applyFont="1" applyFill="1" applyAlignment="1">
      <alignment horizontal="center" vertical="center"/>
    </xf>
    <xf numFmtId="0" fontId="23" fillId="2" borderId="0" xfId="0" applyFont="1" applyFill="1" applyAlignment="1">
      <alignment horizontal="left" vertical="center"/>
    </xf>
    <xf numFmtId="170" fontId="9" fillId="2" borderId="0" xfId="3" applyNumberFormat="1" applyFont="1" applyFill="1" applyAlignment="1" applyProtection="1">
      <alignment horizontal="center" vertical="center"/>
    </xf>
    <xf numFmtId="3" fontId="5" fillId="8" borderId="3" xfId="0" applyNumberFormat="1" applyFont="1" applyFill="1" applyBorder="1" applyAlignment="1">
      <alignment horizontal="center" vertical="center"/>
    </xf>
    <xf numFmtId="0" fontId="4" fillId="8" borderId="3" xfId="0" applyFont="1" applyFill="1" applyBorder="1" applyAlignment="1">
      <alignment horizontal="center" vertical="center"/>
    </xf>
    <xf numFmtId="4"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4" fontId="9" fillId="2" borderId="0" xfId="0" applyNumberFormat="1" applyFont="1" applyFill="1" applyAlignment="1">
      <alignment horizontal="center" vertical="center"/>
    </xf>
    <xf numFmtId="0" fontId="4" fillId="2" borderId="4" xfId="0" applyFont="1" applyFill="1" applyBorder="1" applyAlignment="1">
      <alignment horizontal="center" vertical="center"/>
    </xf>
    <xf numFmtId="169" fontId="9" fillId="2" borderId="0" xfId="0" applyNumberFormat="1" applyFont="1" applyFill="1" applyAlignment="1">
      <alignment horizontal="center" vertical="center"/>
    </xf>
    <xf numFmtId="0" fontId="4" fillId="2" borderId="6" xfId="0" applyFont="1" applyFill="1" applyBorder="1" applyAlignment="1">
      <alignment horizontal="center" vertical="center"/>
    </xf>
    <xf numFmtId="0" fontId="4" fillId="2" borderId="6" xfId="0" applyFont="1" applyFill="1" applyBorder="1" applyAlignment="1">
      <alignment horizontal="left" vertical="center" wrapText="1"/>
    </xf>
    <xf numFmtId="165" fontId="4" fillId="2" borderId="1" xfId="0" applyNumberFormat="1" applyFont="1" applyFill="1" applyBorder="1" applyAlignment="1">
      <alignment horizontal="center" vertical="center"/>
    </xf>
    <xf numFmtId="165" fontId="5" fillId="3" borderId="1" xfId="0" applyNumberFormat="1" applyFont="1" applyFill="1" applyBorder="1" applyAlignment="1">
      <alignment horizontal="center" vertical="center"/>
    </xf>
    <xf numFmtId="0" fontId="24" fillId="10" borderId="1" xfId="0" applyFont="1" applyFill="1" applyBorder="1" applyAlignment="1">
      <alignment vertical="center"/>
    </xf>
    <xf numFmtId="0" fontId="21" fillId="10" borderId="1" xfId="0" applyFont="1" applyFill="1" applyBorder="1" applyAlignment="1">
      <alignment vertical="center"/>
    </xf>
    <xf numFmtId="0" fontId="4" fillId="3" borderId="1" xfId="0" applyFont="1" applyFill="1" applyBorder="1" applyAlignment="1">
      <alignment horizontal="center" vertical="center"/>
    </xf>
    <xf numFmtId="4" fontId="5" fillId="3" borderId="1" xfId="0" applyNumberFormat="1" applyFont="1" applyFill="1" applyBorder="1" applyAlignment="1">
      <alignment horizontal="center" vertical="center"/>
    </xf>
    <xf numFmtId="2" fontId="13" fillId="2" borderId="0" xfId="0" applyNumberFormat="1" applyFont="1" applyFill="1" applyAlignment="1">
      <alignment horizontal="center" vertical="center"/>
    </xf>
    <xf numFmtId="44" fontId="13" fillId="2" borderId="0" xfId="1" applyFont="1" applyFill="1" applyAlignment="1" applyProtection="1">
      <alignment horizontal="center" vertical="center"/>
    </xf>
    <xf numFmtId="2" fontId="9" fillId="2" borderId="0" xfId="0" applyNumberFormat="1" applyFont="1" applyFill="1" applyAlignment="1">
      <alignment horizontal="center" vertical="center"/>
    </xf>
    <xf numFmtId="44" fontId="9" fillId="2" borderId="0" xfId="0" applyNumberFormat="1" applyFont="1" applyFill="1" applyAlignment="1">
      <alignment horizontal="center" vertical="center"/>
    </xf>
    <xf numFmtId="9" fontId="4" fillId="2" borderId="0" xfId="2" applyFont="1" applyFill="1" applyAlignment="1" applyProtection="1">
      <alignment vertical="center"/>
    </xf>
    <xf numFmtId="44" fontId="13" fillId="2" borderId="0" xfId="0" applyNumberFormat="1" applyFont="1" applyFill="1" applyAlignment="1">
      <alignment horizontal="center" vertical="center"/>
    </xf>
    <xf numFmtId="3" fontId="4" fillId="2" borderId="0" xfId="0" applyNumberFormat="1" applyFont="1" applyFill="1" applyAlignment="1">
      <alignment vertical="center"/>
    </xf>
    <xf numFmtId="167" fontId="4" fillId="2" borderId="0" xfId="0" applyNumberFormat="1" applyFont="1" applyFill="1" applyAlignment="1">
      <alignment vertical="center"/>
    </xf>
    <xf numFmtId="164" fontId="5" fillId="3" borderId="1" xfId="1" applyNumberFormat="1" applyFont="1" applyFill="1" applyBorder="1" applyAlignment="1" applyProtection="1">
      <alignment horizontal="center" vertical="center"/>
    </xf>
    <xf numFmtId="1" fontId="9" fillId="2" borderId="0" xfId="0" applyNumberFormat="1" applyFont="1" applyFill="1" applyAlignment="1">
      <alignment horizontal="center" vertical="center"/>
    </xf>
    <xf numFmtId="164" fontId="4" fillId="2" borderId="0" xfId="1" applyNumberFormat="1" applyFont="1" applyFill="1" applyAlignment="1" applyProtection="1">
      <alignment vertical="center"/>
    </xf>
    <xf numFmtId="164" fontId="9" fillId="2" borderId="0" xfId="0" applyNumberFormat="1" applyFont="1" applyFill="1" applyAlignment="1">
      <alignment horizontal="center" vertical="center"/>
    </xf>
    <xf numFmtId="164" fontId="5" fillId="8" borderId="3" xfId="1" applyNumberFormat="1" applyFont="1" applyFill="1" applyBorder="1" applyAlignment="1" applyProtection="1">
      <alignment horizontal="center" vertical="center"/>
    </xf>
    <xf numFmtId="0" fontId="5" fillId="8" borderId="3" xfId="0" applyFont="1" applyFill="1" applyBorder="1" applyAlignment="1">
      <alignment horizontal="center" vertical="center"/>
    </xf>
    <xf numFmtId="164" fontId="9" fillId="2" borderId="0" xfId="1" applyNumberFormat="1" applyFont="1" applyFill="1" applyAlignment="1" applyProtection="1">
      <alignment horizontal="center" vertical="center"/>
    </xf>
    <xf numFmtId="9" fontId="9" fillId="2" borderId="0" xfId="2" applyFont="1" applyFill="1" applyAlignment="1" applyProtection="1">
      <alignment horizontal="center" vertical="center"/>
    </xf>
    <xf numFmtId="164" fontId="4" fillId="2" borderId="0" xfId="0" applyNumberFormat="1" applyFont="1" applyFill="1" applyAlignment="1">
      <alignment vertical="center"/>
    </xf>
    <xf numFmtId="44" fontId="9" fillId="2" borderId="0" xfId="1" applyFont="1" applyFill="1" applyAlignment="1" applyProtection="1">
      <alignment horizontal="center" vertical="center"/>
    </xf>
    <xf numFmtId="0" fontId="6" fillId="3" borderId="1" xfId="0" applyFont="1" applyFill="1" applyBorder="1" applyAlignment="1">
      <alignment vertical="center"/>
    </xf>
    <xf numFmtId="44" fontId="4" fillId="2" borderId="1" xfId="1" applyFont="1" applyFill="1" applyBorder="1" applyAlignment="1" applyProtection="1">
      <alignment horizontal="center" vertical="center" wrapText="1"/>
    </xf>
    <xf numFmtId="44" fontId="5" fillId="8" borderId="3" xfId="1" applyFont="1" applyFill="1" applyBorder="1" applyAlignment="1" applyProtection="1">
      <alignment horizontal="center" vertical="center" wrapText="1"/>
    </xf>
    <xf numFmtId="44" fontId="4" fillId="2" borderId="0" xfId="0" applyNumberFormat="1" applyFont="1" applyFill="1" applyAlignment="1">
      <alignment vertical="center"/>
    </xf>
    <xf numFmtId="0" fontId="4" fillId="2" borderId="0" xfId="0" applyFont="1" applyFill="1" applyAlignment="1">
      <alignment vertical="center" wrapText="1"/>
    </xf>
    <xf numFmtId="164" fontId="4" fillId="2" borderId="4" xfId="1" applyNumberFormat="1" applyFont="1" applyFill="1" applyBorder="1" applyAlignment="1" applyProtection="1">
      <alignment horizontal="center" vertical="center"/>
    </xf>
    <xf numFmtId="3" fontId="4" fillId="2" borderId="4" xfId="0" applyNumberFormat="1" applyFont="1" applyFill="1" applyBorder="1" applyAlignment="1">
      <alignment horizontal="center" vertical="center"/>
    </xf>
    <xf numFmtId="3" fontId="4" fillId="2" borderId="6" xfId="0" applyNumberFormat="1" applyFont="1" applyFill="1" applyBorder="1" applyAlignment="1">
      <alignment horizontal="center" vertical="center"/>
    </xf>
    <xf numFmtId="4" fontId="5" fillId="8" borderId="3" xfId="0" applyNumberFormat="1" applyFont="1" applyFill="1" applyBorder="1" applyAlignment="1">
      <alignment horizontal="center" vertical="center"/>
    </xf>
    <xf numFmtId="0" fontId="4" fillId="8" borderId="2" xfId="0" applyFont="1" applyFill="1" applyBorder="1" applyAlignment="1">
      <alignment horizontal="center" vertical="center"/>
    </xf>
    <xf numFmtId="0" fontId="5" fillId="8" borderId="1" xfId="0" applyFont="1" applyFill="1" applyBorder="1" applyAlignment="1">
      <alignment vertical="center" wrapText="1"/>
    </xf>
    <xf numFmtId="165" fontId="5" fillId="8" borderId="1" xfId="0" applyNumberFormat="1" applyFont="1" applyFill="1" applyBorder="1" applyAlignment="1">
      <alignment horizontal="center" vertical="center"/>
    </xf>
    <xf numFmtId="0" fontId="5" fillId="8" borderId="2" xfId="0" applyFont="1" applyFill="1" applyBorder="1" applyAlignment="1">
      <alignment horizontal="center" vertical="center"/>
    </xf>
    <xf numFmtId="3" fontId="5" fillId="8" borderId="1" xfId="0" applyNumberFormat="1" applyFont="1" applyFill="1" applyBorder="1" applyAlignment="1">
      <alignment horizontal="center" vertical="center"/>
    </xf>
    <xf numFmtId="0" fontId="4" fillId="8" borderId="1" xfId="0" applyFont="1" applyFill="1" applyBorder="1" applyAlignment="1">
      <alignment horizontal="center" vertical="center"/>
    </xf>
    <xf numFmtId="44" fontId="5" fillId="8" borderId="3" xfId="1" applyFont="1" applyFill="1" applyBorder="1" applyAlignment="1" applyProtection="1">
      <alignment horizontal="center" vertical="center"/>
    </xf>
    <xf numFmtId="2" fontId="4" fillId="2" borderId="0" xfId="0" applyNumberFormat="1" applyFont="1" applyFill="1" applyAlignment="1">
      <alignment horizontal="center" vertical="center"/>
    </xf>
    <xf numFmtId="0" fontId="24" fillId="10" borderId="9" xfId="0" applyFont="1" applyFill="1" applyBorder="1" applyAlignment="1">
      <alignment vertical="center"/>
    </xf>
    <xf numFmtId="0" fontId="4" fillId="2" borderId="1" xfId="0" applyFont="1" applyFill="1" applyBorder="1" applyAlignment="1">
      <alignment horizontal="center" vertical="center" wrapText="1"/>
    </xf>
    <xf numFmtId="2" fontId="4" fillId="2" borderId="1" xfId="0" applyNumberFormat="1" applyFont="1" applyFill="1" applyBorder="1" applyAlignment="1">
      <alignment horizontal="center" vertical="center"/>
    </xf>
    <xf numFmtId="2" fontId="5" fillId="3" borderId="1" xfId="0" applyNumberFormat="1" applyFont="1" applyFill="1" applyBorder="1" applyAlignment="1">
      <alignment horizontal="center" vertical="center"/>
    </xf>
    <xf numFmtId="164" fontId="19" fillId="2" borderId="5" xfId="1" applyNumberFormat="1" applyFont="1" applyFill="1" applyBorder="1" applyAlignment="1" applyProtection="1">
      <alignment horizontal="center" vertical="center"/>
    </xf>
    <xf numFmtId="164" fontId="20" fillId="2" borderId="5" xfId="1" applyNumberFormat="1" applyFont="1" applyFill="1" applyBorder="1" applyAlignment="1" applyProtection="1">
      <alignment horizontal="center" vertical="center"/>
    </xf>
    <xf numFmtId="9" fontId="19" fillId="2" borderId="5" xfId="2" applyFont="1" applyFill="1" applyBorder="1" applyAlignment="1" applyProtection="1">
      <alignment horizontal="center" vertical="center"/>
    </xf>
    <xf numFmtId="44" fontId="19" fillId="2" borderId="5" xfId="1" applyFont="1" applyFill="1" applyBorder="1" applyAlignment="1" applyProtection="1">
      <alignment horizontal="center" vertical="center"/>
    </xf>
    <xf numFmtId="164" fontId="4" fillId="2" borderId="5" xfId="1" applyNumberFormat="1" applyFont="1" applyFill="1" applyBorder="1" applyAlignment="1" applyProtection="1">
      <alignment horizontal="center" vertical="center"/>
    </xf>
    <xf numFmtId="0" fontId="16" fillId="2" borderId="0" xfId="0" applyFont="1" applyFill="1" applyAlignment="1">
      <alignment vertical="center"/>
    </xf>
    <xf numFmtId="0" fontId="23" fillId="10" borderId="10" xfId="0" applyFont="1" applyFill="1" applyBorder="1" applyAlignment="1">
      <alignment horizontal="center" vertical="center"/>
    </xf>
    <xf numFmtId="0" fontId="5" fillId="8" borderId="12" xfId="0" applyFont="1" applyFill="1" applyBorder="1" applyAlignment="1">
      <alignment vertical="center"/>
    </xf>
    <xf numFmtId="4" fontId="5" fillId="8" borderId="13" xfId="0" applyNumberFormat="1" applyFont="1" applyFill="1" applyBorder="1" applyAlignment="1">
      <alignment horizontal="center" vertical="center"/>
    </xf>
    <xf numFmtId="170" fontId="4" fillId="2" borderId="0" xfId="3" applyNumberFormat="1" applyFont="1" applyFill="1" applyAlignment="1" applyProtection="1">
      <alignment vertical="center"/>
    </xf>
    <xf numFmtId="0" fontId="4" fillId="2" borderId="16" xfId="0" applyFont="1" applyFill="1" applyBorder="1" applyAlignment="1">
      <alignment vertical="center"/>
    </xf>
    <xf numFmtId="2" fontId="4" fillId="2" borderId="1" xfId="0" applyNumberFormat="1" applyFont="1" applyFill="1" applyBorder="1" applyAlignment="1">
      <alignment horizontal="left" vertical="center"/>
    </xf>
    <xf numFmtId="2" fontId="5" fillId="3" borderId="1" xfId="0" applyNumberFormat="1" applyFont="1" applyFill="1" applyBorder="1" applyAlignment="1">
      <alignment horizontal="left" vertical="center"/>
    </xf>
    <xf numFmtId="0" fontId="23" fillId="10" borderId="16" xfId="0" applyFont="1" applyFill="1" applyBorder="1" applyAlignment="1">
      <alignment horizontal="center" vertical="center"/>
    </xf>
    <xf numFmtId="2" fontId="4" fillId="2" borderId="0" xfId="0" applyNumberFormat="1" applyFont="1" applyFill="1" applyAlignment="1">
      <alignment horizontal="left" vertical="center"/>
    </xf>
    <xf numFmtId="44" fontId="4" fillId="2" borderId="0" xfId="1" applyFont="1" applyFill="1" applyAlignment="1" applyProtection="1">
      <alignment vertical="center"/>
    </xf>
    <xf numFmtId="165" fontId="4" fillId="2" borderId="15" xfId="0" applyNumberFormat="1" applyFont="1" applyFill="1" applyBorder="1" applyAlignment="1">
      <alignment horizontal="center" vertical="center"/>
    </xf>
    <xf numFmtId="0" fontId="5" fillId="11" borderId="1" xfId="0" applyFont="1" applyFill="1" applyBorder="1" applyAlignment="1">
      <alignment vertical="center" wrapText="1"/>
    </xf>
    <xf numFmtId="164" fontId="5" fillId="11" borderId="1" xfId="1" applyNumberFormat="1" applyFont="1" applyFill="1" applyBorder="1" applyAlignment="1" applyProtection="1">
      <alignment horizontal="center" vertical="center"/>
    </xf>
    <xf numFmtId="0" fontId="4" fillId="11" borderId="1" xfId="0" applyFont="1" applyFill="1" applyBorder="1" applyAlignment="1">
      <alignment horizontal="center" vertical="center"/>
    </xf>
    <xf numFmtId="0" fontId="24" fillId="11" borderId="9" xfId="0" applyFont="1" applyFill="1" applyBorder="1" applyAlignment="1">
      <alignment vertical="center"/>
    </xf>
    <xf numFmtId="0" fontId="23" fillId="11" borderId="10" xfId="0" applyFont="1" applyFill="1" applyBorder="1" applyAlignment="1">
      <alignment horizontal="center" vertical="center"/>
    </xf>
    <xf numFmtId="0" fontId="23" fillId="11" borderId="16" xfId="0" applyFont="1" applyFill="1" applyBorder="1" applyAlignment="1">
      <alignment horizontal="center" vertical="center"/>
    </xf>
    <xf numFmtId="0" fontId="5" fillId="3" borderId="4" xfId="0" applyFont="1" applyFill="1" applyBorder="1" applyAlignment="1">
      <alignment vertical="center"/>
    </xf>
    <xf numFmtId="0" fontId="5" fillId="3" borderId="4" xfId="0" applyFont="1" applyFill="1" applyBorder="1" applyAlignment="1">
      <alignment horizontal="center" vertical="center"/>
    </xf>
    <xf numFmtId="0" fontId="5" fillId="2" borderId="11" xfId="0" applyFont="1" applyFill="1" applyBorder="1" applyAlignment="1">
      <alignment horizontal="center" vertical="center"/>
    </xf>
    <xf numFmtId="169" fontId="5" fillId="8" borderId="3" xfId="2" applyNumberFormat="1" applyFont="1" applyFill="1" applyBorder="1" applyAlignment="1" applyProtection="1">
      <alignment horizontal="center" vertical="center"/>
    </xf>
    <xf numFmtId="0" fontId="8" fillId="12" borderId="0" xfId="0" applyFont="1" applyFill="1" applyAlignment="1">
      <alignment vertical="center"/>
    </xf>
    <xf numFmtId="0" fontId="8" fillId="12" borderId="0" xfId="0" applyFont="1" applyFill="1" applyAlignment="1">
      <alignment horizontal="center" vertical="center" wrapText="1"/>
    </xf>
    <xf numFmtId="0" fontId="6" fillId="12" borderId="0" xfId="0" applyFont="1" applyFill="1" applyAlignment="1">
      <alignment vertical="center" wrapText="1"/>
    </xf>
    <xf numFmtId="0" fontId="22" fillId="10" borderId="0" xfId="0" applyFont="1" applyFill="1" applyAlignment="1">
      <alignment vertical="center"/>
    </xf>
    <xf numFmtId="0" fontId="22" fillId="10" borderId="0" xfId="0" applyFont="1" applyFill="1" applyAlignment="1">
      <alignment horizontal="center" vertical="center" wrapText="1"/>
    </xf>
    <xf numFmtId="0" fontId="5" fillId="2" borderId="3" xfId="0" applyFont="1" applyFill="1" applyBorder="1" applyAlignment="1">
      <alignment vertical="center"/>
    </xf>
    <xf numFmtId="0" fontId="5" fillId="2" borderId="3" xfId="0" applyFont="1" applyFill="1" applyBorder="1" applyAlignment="1">
      <alignment horizontal="center" vertical="center"/>
    </xf>
    <xf numFmtId="164" fontId="20" fillId="8" borderId="1" xfId="1" applyNumberFormat="1" applyFont="1" applyFill="1" applyBorder="1" applyAlignment="1" applyProtection="1">
      <alignment horizontal="center" vertical="center"/>
    </xf>
    <xf numFmtId="164" fontId="19" fillId="3" borderId="1" xfId="1" applyNumberFormat="1" applyFont="1" applyFill="1" applyBorder="1" applyAlignment="1" applyProtection="1">
      <alignment horizontal="center" vertical="center"/>
    </xf>
    <xf numFmtId="0" fontId="21"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3" fillId="3" borderId="0" xfId="0" applyFont="1" applyFill="1" applyAlignment="1">
      <alignment vertical="center"/>
    </xf>
    <xf numFmtId="0" fontId="22" fillId="3" borderId="0" xfId="0" applyFont="1" applyFill="1" applyAlignment="1">
      <alignment horizontal="left" wrapText="1"/>
    </xf>
    <xf numFmtId="0" fontId="7" fillId="3" borderId="0" xfId="0" applyFont="1" applyFill="1" applyAlignment="1">
      <alignment horizontal="left" vertical="center" wrapText="1"/>
    </xf>
    <xf numFmtId="0" fontId="1" fillId="3" borderId="0" xfId="0" applyFont="1" applyFill="1" applyAlignment="1">
      <alignment horizontal="left" vertical="center" wrapText="1"/>
    </xf>
    <xf numFmtId="0" fontId="27" fillId="3" borderId="0" xfId="0" applyFont="1" applyFill="1" applyAlignment="1">
      <alignment vertical="center"/>
    </xf>
    <xf numFmtId="0" fontId="1" fillId="3" borderId="0" xfId="0" applyFont="1" applyFill="1" applyAlignment="1">
      <alignment vertical="center" wrapText="1"/>
    </xf>
    <xf numFmtId="0" fontId="1" fillId="3" borderId="0" xfId="0" quotePrefix="1" applyFont="1" applyFill="1" applyAlignment="1">
      <alignment horizontal="left" vertical="center"/>
    </xf>
    <xf numFmtId="0" fontId="25" fillId="12" borderId="0" xfId="0" applyFont="1" applyFill="1" applyAlignment="1" applyProtection="1">
      <alignment vertical="center"/>
      <protection hidden="1"/>
    </xf>
    <xf numFmtId="0" fontId="6" fillId="12" borderId="0" xfId="0" applyFont="1" applyFill="1" applyAlignment="1" applyProtection="1">
      <alignment vertical="center" wrapText="1"/>
      <protection hidden="1"/>
    </xf>
    <xf numFmtId="0" fontId="24" fillId="10" borderId="9" xfId="0" applyFont="1" applyFill="1" applyBorder="1" applyAlignment="1" applyProtection="1">
      <alignment vertical="center"/>
      <protection hidden="1"/>
    </xf>
    <xf numFmtId="0" fontId="21" fillId="10" borderId="10" xfId="0" applyFont="1" applyFill="1" applyBorder="1" applyAlignment="1" applyProtection="1">
      <alignment horizontal="center" vertical="center"/>
      <protection hidden="1"/>
    </xf>
    <xf numFmtId="0" fontId="21" fillId="10" borderId="2" xfId="0" applyFont="1" applyFill="1" applyBorder="1" applyAlignment="1" applyProtection="1">
      <alignment horizontal="center" vertical="center"/>
      <protection hidden="1"/>
    </xf>
    <xf numFmtId="0" fontId="5" fillId="11" borderId="9" xfId="0" applyFont="1" applyFill="1" applyBorder="1" applyAlignment="1" applyProtection="1">
      <alignment vertical="center"/>
      <protection hidden="1"/>
    </xf>
    <xf numFmtId="3" fontId="5" fillId="11" borderId="10" xfId="0" applyNumberFormat="1" applyFont="1" applyFill="1" applyBorder="1" applyAlignment="1" applyProtection="1">
      <alignment horizontal="center" vertical="center"/>
      <protection hidden="1"/>
    </xf>
    <xf numFmtId="0" fontId="4" fillId="11" borderId="10" xfId="0" applyFont="1" applyFill="1" applyBorder="1" applyAlignment="1" applyProtection="1">
      <alignment horizontal="center" vertical="center"/>
      <protection hidden="1"/>
    </xf>
    <xf numFmtId="0" fontId="12" fillId="11" borderId="2" xfId="0" applyFont="1" applyFill="1" applyBorder="1" applyAlignment="1" applyProtection="1">
      <alignment vertical="center"/>
      <protection hidden="1"/>
    </xf>
    <xf numFmtId="0" fontId="4" fillId="2" borderId="1" xfId="0" applyFont="1" applyFill="1" applyBorder="1" applyAlignment="1" applyProtection="1">
      <alignment vertical="center"/>
      <protection hidden="1"/>
    </xf>
    <xf numFmtId="0" fontId="12" fillId="2" borderId="1" xfId="0" applyFont="1" applyFill="1" applyBorder="1" applyAlignment="1" applyProtection="1">
      <alignment vertical="center"/>
      <protection hidden="1"/>
    </xf>
    <xf numFmtId="0" fontId="5" fillId="3" borderId="1" xfId="0" applyFont="1" applyFill="1" applyBorder="1" applyAlignment="1" applyProtection="1">
      <alignment vertical="center"/>
      <protection hidden="1"/>
    </xf>
    <xf numFmtId="2" fontId="5" fillId="3" borderId="1" xfId="0" applyNumberFormat="1" applyFont="1" applyFill="1" applyBorder="1" applyAlignment="1" applyProtection="1">
      <alignment horizontal="center" vertical="center"/>
      <protection hidden="1"/>
    </xf>
    <xf numFmtId="0" fontId="15" fillId="3" borderId="1" xfId="0" applyFont="1" applyFill="1" applyBorder="1" applyAlignment="1" applyProtection="1">
      <alignment vertical="center"/>
      <protection hidden="1"/>
    </xf>
    <xf numFmtId="0" fontId="5" fillId="8" borderId="1" xfId="0" applyFont="1" applyFill="1" applyBorder="1" applyAlignment="1" applyProtection="1">
      <alignment vertical="center"/>
      <protection hidden="1"/>
    </xf>
    <xf numFmtId="164" fontId="5" fillId="8" borderId="1" xfId="1" applyNumberFormat="1" applyFont="1" applyFill="1" applyBorder="1" applyAlignment="1" applyProtection="1">
      <alignment horizontal="center" vertical="center"/>
      <protection hidden="1"/>
    </xf>
    <xf numFmtId="2" fontId="5" fillId="8" borderId="2" xfId="0" applyNumberFormat="1" applyFont="1" applyFill="1" applyBorder="1" applyAlignment="1" applyProtection="1">
      <alignment horizontal="center" vertical="center"/>
      <protection hidden="1"/>
    </xf>
    <xf numFmtId="0" fontId="15" fillId="8" borderId="1" xfId="0" applyFont="1" applyFill="1" applyBorder="1" applyAlignment="1" applyProtection="1">
      <alignment vertical="center"/>
      <protection hidden="1"/>
    </xf>
    <xf numFmtId="1" fontId="4" fillId="2" borderId="0" xfId="0" applyNumberFormat="1" applyFont="1" applyFill="1" applyAlignment="1" applyProtection="1">
      <alignment vertical="center"/>
      <protection hidden="1"/>
    </xf>
    <xf numFmtId="0" fontId="12" fillId="3" borderId="1" xfId="0" applyFont="1" applyFill="1" applyBorder="1" applyAlignment="1" applyProtection="1">
      <alignment vertical="center"/>
      <protection hidden="1"/>
    </xf>
    <xf numFmtId="9" fontId="4" fillId="2" borderId="1" xfId="2" applyFont="1" applyFill="1" applyBorder="1" applyAlignment="1" applyProtection="1">
      <alignment horizontal="center" vertical="center"/>
      <protection hidden="1"/>
    </xf>
    <xf numFmtId="0" fontId="0" fillId="2" borderId="0" xfId="0" applyFill="1" applyAlignment="1" applyProtection="1">
      <alignment vertical="center"/>
      <protection hidden="1"/>
    </xf>
    <xf numFmtId="169" fontId="4" fillId="2" borderId="1" xfId="2" applyNumberFormat="1" applyFont="1" applyFill="1" applyBorder="1" applyAlignment="1" applyProtection="1">
      <alignment horizontal="center" vertical="center"/>
      <protection hidden="1"/>
    </xf>
    <xf numFmtId="1" fontId="4" fillId="2" borderId="1" xfId="1" applyNumberFormat="1" applyFont="1" applyFill="1" applyBorder="1" applyAlignment="1" applyProtection="1">
      <alignment horizontal="center" vertical="center"/>
      <protection hidden="1"/>
    </xf>
    <xf numFmtId="44" fontId="4" fillId="2" borderId="0" xfId="1" applyFont="1" applyFill="1" applyBorder="1" applyAlignment="1" applyProtection="1">
      <alignment horizontal="center" vertical="center"/>
      <protection hidden="1"/>
    </xf>
    <xf numFmtId="2" fontId="4" fillId="2" borderId="0" xfId="0" applyNumberFormat="1" applyFont="1" applyFill="1" applyAlignment="1" applyProtection="1">
      <alignment horizontal="center" vertical="center"/>
      <protection hidden="1"/>
    </xf>
    <xf numFmtId="3" fontId="4" fillId="6" borderId="1" xfId="0" applyNumberFormat="1" applyFont="1" applyFill="1" applyBorder="1" applyAlignment="1" applyProtection="1">
      <alignment horizontal="center" vertical="center"/>
      <protection locked="0"/>
    </xf>
    <xf numFmtId="164" fontId="4" fillId="6" borderId="1" xfId="1" applyNumberFormat="1" applyFont="1" applyFill="1" applyBorder="1" applyAlignment="1" applyProtection="1">
      <alignment horizontal="center" vertical="center"/>
      <protection locked="0"/>
    </xf>
    <xf numFmtId="44" fontId="4" fillId="6" borderId="1" xfId="1" applyFont="1" applyFill="1" applyBorder="1" applyAlignment="1" applyProtection="1">
      <alignment horizontal="center" vertical="center"/>
      <protection locked="0"/>
    </xf>
    <xf numFmtId="9" fontId="4" fillId="6" borderId="1" xfId="2" applyFont="1" applyFill="1" applyBorder="1" applyAlignment="1" applyProtection="1">
      <alignment horizontal="center" vertical="center"/>
      <protection locked="0"/>
    </xf>
    <xf numFmtId="166" fontId="4" fillId="6" borderId="1" xfId="2" applyNumberFormat="1" applyFont="1" applyFill="1" applyBorder="1" applyAlignment="1" applyProtection="1">
      <alignment horizontal="center" vertical="center"/>
      <protection locked="0"/>
    </xf>
    <xf numFmtId="1" fontId="4" fillId="6" borderId="1" xfId="1" applyNumberFormat="1" applyFont="1" applyFill="1" applyBorder="1" applyAlignment="1" applyProtection="1">
      <alignment horizontal="center" vertical="center"/>
      <protection locked="0"/>
    </xf>
    <xf numFmtId="164" fontId="5" fillId="8" borderId="1" xfId="1" applyNumberFormat="1" applyFont="1" applyFill="1" applyBorder="1" applyAlignment="1" applyProtection="1">
      <alignment horizontal="center" vertical="center"/>
    </xf>
    <xf numFmtId="164" fontId="5" fillId="2" borderId="17" xfId="2" applyNumberFormat="1" applyFont="1" applyFill="1" applyBorder="1" applyAlignment="1" applyProtection="1">
      <alignment horizontal="center" vertical="center"/>
    </xf>
    <xf numFmtId="44" fontId="4" fillId="8" borderId="18" xfId="1" applyFont="1" applyFill="1" applyBorder="1" applyAlignment="1" applyProtection="1">
      <alignment horizontal="center" vertical="center"/>
    </xf>
    <xf numFmtId="0" fontId="28" fillId="2" borderId="1" xfId="0" applyFont="1" applyFill="1" applyBorder="1" applyAlignment="1" applyProtection="1">
      <alignment vertical="center"/>
      <protection hidden="1"/>
    </xf>
    <xf numFmtId="0" fontId="26" fillId="10" borderId="0" xfId="0" applyFont="1" applyFill="1" applyAlignment="1">
      <alignment vertical="center" wrapText="1"/>
    </xf>
    <xf numFmtId="0" fontId="7" fillId="3" borderId="0" xfId="0" applyFont="1" applyFill="1" applyAlignment="1">
      <alignment vertical="center" wrapText="1"/>
    </xf>
    <xf numFmtId="0" fontId="7" fillId="3" borderId="0" xfId="0" applyFont="1" applyFill="1" applyAlignment="1">
      <alignment vertical="center"/>
    </xf>
    <xf numFmtId="0" fontId="21" fillId="11" borderId="9" xfId="0" applyFont="1" applyFill="1" applyBorder="1" applyAlignment="1" applyProtection="1">
      <alignment vertical="center"/>
      <protection hidden="1"/>
    </xf>
    <xf numFmtId="0" fontId="23" fillId="2" borderId="1" xfId="0" applyFont="1" applyFill="1" applyBorder="1" applyAlignment="1" applyProtection="1">
      <alignment vertical="center"/>
      <protection hidden="1"/>
    </xf>
    <xf numFmtId="0" fontId="23" fillId="2" borderId="1" xfId="0" applyFont="1" applyFill="1" applyBorder="1" applyAlignment="1" applyProtection="1">
      <alignment vertical="center" wrapText="1"/>
      <protection hidden="1"/>
    </xf>
    <xf numFmtId="164" fontId="23" fillId="2" borderId="1" xfId="1" applyNumberFormat="1" applyFont="1" applyFill="1" applyBorder="1" applyAlignment="1" applyProtection="1">
      <alignment horizontal="center" vertical="center"/>
    </xf>
    <xf numFmtId="0" fontId="25" fillId="12" borderId="0" xfId="0" applyFont="1" applyFill="1" applyAlignment="1">
      <alignment vertical="center"/>
    </xf>
    <xf numFmtId="0" fontId="21" fillId="3" borderId="1" xfId="0" applyFont="1" applyFill="1" applyBorder="1" applyAlignment="1">
      <alignment vertical="center"/>
    </xf>
    <xf numFmtId="0" fontId="23" fillId="2" borderId="1" xfId="0" applyFont="1" applyFill="1" applyBorder="1" applyAlignment="1">
      <alignment vertical="center"/>
    </xf>
    <xf numFmtId="0" fontId="21" fillId="11" borderId="1" xfId="0" applyFont="1" applyFill="1" applyBorder="1" applyAlignment="1">
      <alignment vertical="center"/>
    </xf>
    <xf numFmtId="0" fontId="29" fillId="3" borderId="0" xfId="0" applyFont="1" applyFill="1" applyAlignment="1">
      <alignment horizontal="center" vertical="center" wrapText="1"/>
    </xf>
    <xf numFmtId="0" fontId="29" fillId="11" borderId="0" xfId="0" applyFont="1" applyFill="1" applyAlignment="1">
      <alignment horizontal="center" vertical="center" wrapText="1"/>
    </xf>
    <xf numFmtId="0" fontId="19" fillId="2" borderId="0" xfId="0" applyFont="1" applyFill="1" applyAlignment="1">
      <alignment horizontal="center" vertical="center" wrapText="1"/>
    </xf>
    <xf numFmtId="0" fontId="7" fillId="2" borderId="0" xfId="0" applyFont="1" applyFill="1" applyAlignment="1">
      <alignment horizontal="left" vertical="center"/>
    </xf>
    <xf numFmtId="0" fontId="7" fillId="6" borderId="0" xfId="0" applyFont="1" applyFill="1" applyAlignment="1">
      <alignment horizontal="left" vertical="center"/>
    </xf>
  </cellXfs>
  <cellStyles count="5">
    <cellStyle name="Comma" xfId="3" builtinId="3"/>
    <cellStyle name="Currency" xfId="1" builtinId="4"/>
    <cellStyle name="Normal" xfId="0" builtinId="0"/>
    <cellStyle name="Normal 2" xfId="4" xr:uid="{C68D08B9-7DC9-44D3-8517-A8109CC23860}"/>
    <cellStyle name="Percent" xfId="2" builtinId="5"/>
  </cellStyles>
  <dxfs count="25">
    <dxf>
      <font>
        <color theme="0"/>
      </font>
    </dxf>
    <dxf>
      <font>
        <b val="0"/>
        <i/>
        <color rgb="FFC00000"/>
      </font>
    </dxf>
    <dxf>
      <font>
        <b val="0"/>
        <i/>
        <strike val="0"/>
      </font>
    </dxf>
    <dxf>
      <font>
        <b/>
        <i val="0"/>
        <color rgb="FFC00000"/>
      </font>
    </dxf>
    <dxf>
      <font>
        <b/>
        <i val="0"/>
        <strike val="0"/>
      </font>
    </dxf>
    <dxf>
      <font>
        <b val="0"/>
        <i/>
        <color rgb="FFC00000"/>
      </font>
    </dxf>
    <dxf>
      <font>
        <b val="0"/>
        <i/>
        <strike val="0"/>
      </font>
    </dxf>
    <dxf>
      <font>
        <b val="0"/>
        <i/>
        <color rgb="FFC00000"/>
      </font>
    </dxf>
    <dxf>
      <font>
        <b val="0"/>
        <i/>
        <strike val="0"/>
      </font>
    </dxf>
    <dxf>
      <font>
        <color theme="0"/>
      </font>
    </dxf>
    <dxf>
      <font>
        <b/>
        <i val="0"/>
        <color rgb="FFC00000"/>
      </font>
    </dxf>
    <dxf>
      <font>
        <b/>
        <i val="0"/>
        <strike val="0"/>
      </font>
    </dxf>
    <dxf>
      <font>
        <b val="0"/>
        <i/>
        <color rgb="FFC00000"/>
      </font>
    </dxf>
    <dxf>
      <font>
        <b val="0"/>
        <i/>
        <strike val="0"/>
      </font>
    </dxf>
    <dxf>
      <font>
        <b/>
        <i val="0"/>
        <color rgb="FFC00000"/>
      </font>
    </dxf>
    <dxf>
      <font>
        <b/>
        <i val="0"/>
        <strike val="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1" defaultTableStyle="TableStyleMedium2" defaultPivotStyle="PivotStyleLight16">
    <tableStyle name="Invisible" pivot="0" table="0" count="0" xr9:uid="{7C22CA10-255D-4ED5-831F-4118E8FB0DE8}"/>
  </tableStyles>
  <colors>
    <mruColors>
      <color rgb="FFA8C836"/>
      <color rgb="FFEDF4D6"/>
      <color rgb="FFDCE9AE"/>
      <color rgb="FF7D9528"/>
      <color rgb="FFDDEEF7"/>
      <color rgb="FF25739F"/>
      <color rgb="FF2C8AB7"/>
      <color rgb="FF1D5C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accent2">
                <a:lumMod val="40000"/>
                <a:lumOff val="60000"/>
              </a:schemeClr>
            </a:solidFill>
          </c:spPr>
          <c:dPt>
            <c:idx val="0"/>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1-78B8-440D-BFB9-0B2CDA6FC79C}"/>
              </c:ext>
            </c:extLst>
          </c:dPt>
          <c:dPt>
            <c:idx val="1"/>
            <c:bubble3D val="0"/>
            <c:spPr>
              <a:solidFill>
                <a:schemeClr val="accent4">
                  <a:lumMod val="40000"/>
                  <a:lumOff val="60000"/>
                </a:schemeClr>
              </a:solidFill>
              <a:ln w="19050">
                <a:solidFill>
                  <a:schemeClr val="lt1"/>
                </a:solidFill>
              </a:ln>
              <a:effectLst/>
            </c:spPr>
            <c:extLst>
              <c:ext xmlns:c16="http://schemas.microsoft.com/office/drawing/2014/chart" uri="{C3380CC4-5D6E-409C-BE32-E72D297353CC}">
                <c16:uniqueId val="{00000001-DF9B-4FD0-8811-2EB41D14AC04}"/>
              </c:ext>
            </c:extLst>
          </c:dPt>
          <c:dPt>
            <c:idx val="2"/>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2-DF9B-4FD0-8811-2EB41D14AC04}"/>
              </c:ext>
            </c:extLst>
          </c:dPt>
          <c:val>
            <c:numRef>
              <c:f>'Model Template'!$C$153:$C$155</c:f>
              <c:numCache>
                <c:formatCode>#,##0</c:formatCode>
                <c:ptCount val="3"/>
                <c:pt idx="0">
                  <c:v>0</c:v>
                </c:pt>
                <c:pt idx="1">
                  <c:v>0</c:v>
                </c:pt>
                <c:pt idx="2">
                  <c:v>0</c:v>
                </c:pt>
              </c:numCache>
            </c:numRef>
          </c:val>
          <c:extLst>
            <c:ext xmlns:c16="http://schemas.microsoft.com/office/drawing/2014/chart" uri="{C3380CC4-5D6E-409C-BE32-E72D297353CC}">
              <c16:uniqueId val="{00000000-DF9B-4FD0-8811-2EB41D14AC0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19</xdr:row>
      <xdr:rowOff>3105</xdr:rowOff>
    </xdr:from>
    <xdr:to>
      <xdr:col>1</xdr:col>
      <xdr:colOff>1190625</xdr:colOff>
      <xdr:row>23</xdr:row>
      <xdr:rowOff>2760</xdr:rowOff>
    </xdr:to>
    <xdr:pic>
      <xdr:nvPicPr>
        <xdr:cNvPr id="3" name="Picture 2">
          <a:extLst>
            <a:ext uri="{FF2B5EF4-FFF2-40B4-BE49-F238E27FC236}">
              <a16:creationId xmlns:a16="http://schemas.microsoft.com/office/drawing/2014/main" id="{E816EB83-7910-C271-5407-6F58EDC48D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950" y="6581705"/>
          <a:ext cx="1193800" cy="7588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1036543</xdr:colOff>
      <xdr:row>146</xdr:row>
      <xdr:rowOff>47625</xdr:rowOff>
    </xdr:from>
    <xdr:to>
      <xdr:col>10</xdr:col>
      <xdr:colOff>571500</xdr:colOff>
      <xdr:row>158</xdr:row>
      <xdr:rowOff>179854</xdr:rowOff>
    </xdr:to>
    <xdr:graphicFrame macro="">
      <xdr:nvGraphicFramePr>
        <xdr:cNvPr id="2" name="Chart 1">
          <a:extLst>
            <a:ext uri="{FF2B5EF4-FFF2-40B4-BE49-F238E27FC236}">
              <a16:creationId xmlns:a16="http://schemas.microsoft.com/office/drawing/2014/main" id="{EEA27DD5-AE27-4055-ED91-0C5D579DE1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6976D-0203-4154-9D28-5117F9A1AAE1}">
  <sheetPr>
    <tabColor theme="1" tint="0.34998626667073579"/>
  </sheetPr>
  <dimension ref="A1:C28"/>
  <sheetViews>
    <sheetView tabSelected="1" zoomScale="130" zoomScaleNormal="130" workbookViewId="0">
      <selection activeCell="B26" sqref="B26"/>
    </sheetView>
  </sheetViews>
  <sheetFormatPr defaultColWidth="0" defaultRowHeight="15" zeroHeight="1" x14ac:dyDescent="0.35"/>
  <cols>
    <col min="1" max="1" width="3.36328125" style="270" customWidth="1"/>
    <col min="2" max="2" width="108.6328125" style="270" customWidth="1"/>
    <col min="3" max="3" width="3.36328125" style="270" customWidth="1"/>
    <col min="4" max="16384" width="9.08984375" style="270" hidden="1"/>
  </cols>
  <sheetData>
    <row r="1" spans="2:2" ht="48.5" customHeight="1" x14ac:dyDescent="0.35">
      <c r="B1" s="313" t="s">
        <v>316</v>
      </c>
    </row>
    <row r="2" spans="2:2" ht="30" customHeight="1" x14ac:dyDescent="0.4">
      <c r="B2" s="271" t="s">
        <v>273</v>
      </c>
    </row>
    <row r="3" spans="2:2" ht="66" customHeight="1" x14ac:dyDescent="0.35">
      <c r="B3" s="272" t="s">
        <v>312</v>
      </c>
    </row>
    <row r="4" spans="2:2" ht="53" customHeight="1" x14ac:dyDescent="0.35">
      <c r="B4" s="272" t="s">
        <v>307</v>
      </c>
    </row>
    <row r="5" spans="2:2" ht="54" customHeight="1" x14ac:dyDescent="0.35">
      <c r="B5" s="273" t="s">
        <v>278</v>
      </c>
    </row>
    <row r="6" spans="2:2" ht="40" customHeight="1" x14ac:dyDescent="0.35">
      <c r="B6" s="273" t="s">
        <v>272</v>
      </c>
    </row>
    <row r="7" spans="2:2" ht="25" customHeight="1" x14ac:dyDescent="0.4">
      <c r="B7" s="271" t="s">
        <v>275</v>
      </c>
    </row>
    <row r="8" spans="2:2" ht="23.5" customHeight="1" x14ac:dyDescent="0.35">
      <c r="B8" s="274" t="s">
        <v>276</v>
      </c>
    </row>
    <row r="9" spans="2:2" ht="60" x14ac:dyDescent="0.35">
      <c r="B9" s="314" t="s">
        <v>291</v>
      </c>
    </row>
    <row r="10" spans="2:2" x14ac:dyDescent="0.35"/>
    <row r="11" spans="2:2" x14ac:dyDescent="0.35">
      <c r="B11" s="274" t="s">
        <v>313</v>
      </c>
    </row>
    <row r="12" spans="2:2" x14ac:dyDescent="0.35">
      <c r="B12" s="275" t="s">
        <v>277</v>
      </c>
    </row>
    <row r="13" spans="2:2" x14ac:dyDescent="0.35"/>
    <row r="14" spans="2:2" x14ac:dyDescent="0.35">
      <c r="B14" s="274" t="s">
        <v>191</v>
      </c>
    </row>
    <row r="15" spans="2:2" ht="45" x14ac:dyDescent="0.35">
      <c r="B15" s="275" t="s">
        <v>308</v>
      </c>
    </row>
    <row r="16" spans="2:2" ht="37.5" customHeight="1" x14ac:dyDescent="0.35">
      <c r="B16" s="275" t="s">
        <v>309</v>
      </c>
    </row>
    <row r="17" spans="2:2" x14ac:dyDescent="0.35"/>
    <row r="18" spans="2:2" x14ac:dyDescent="0.35"/>
    <row r="19" spans="2:2" x14ac:dyDescent="0.35"/>
    <row r="20" spans="2:2" x14ac:dyDescent="0.35"/>
    <row r="21" spans="2:2" x14ac:dyDescent="0.35"/>
    <row r="22" spans="2:2" x14ac:dyDescent="0.35"/>
    <row r="23" spans="2:2" x14ac:dyDescent="0.35"/>
    <row r="24" spans="2:2" ht="17.5" customHeight="1" x14ac:dyDescent="0.35">
      <c r="B24" s="315" t="s">
        <v>292</v>
      </c>
    </row>
    <row r="25" spans="2:2" ht="17.5" customHeight="1" x14ac:dyDescent="0.35">
      <c r="B25" s="276" t="s">
        <v>323</v>
      </c>
    </row>
    <row r="26" spans="2:2" ht="48.5" customHeight="1" x14ac:dyDescent="0.35">
      <c r="B26" s="273" t="s">
        <v>274</v>
      </c>
    </row>
    <row r="27" spans="2:2" x14ac:dyDescent="0.35"/>
    <row r="28" spans="2:2" x14ac:dyDescent="0.35"/>
  </sheetData>
  <sheetProtection algorithmName="SHA-512" hashValue="5qu1hSvirXMbK7kfnobv/Wr1tUu6lCLNrk8X23PdC48ZQ/V8QWwEagVeVM0gZ6ZV+icXWuLRUiFWo6733TR14w==" saltValue="3+LHpZDpVoRwQ00XlgEaFQ==" spinCount="100000" sheet="1" objects="1" scenarios="1"/>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CB8D4-7621-420D-A7D8-9D14C5B3042D}">
  <sheetPr>
    <tabColor rgb="FFDCE9AE"/>
  </sheetPr>
  <dimension ref="A1:V109"/>
  <sheetViews>
    <sheetView zoomScaleNormal="100" workbookViewId="0">
      <selection activeCell="D6" sqref="D6"/>
    </sheetView>
  </sheetViews>
  <sheetFormatPr defaultColWidth="0" defaultRowHeight="14" zeroHeight="1" x14ac:dyDescent="0.35"/>
  <cols>
    <col min="1" max="1" width="3.1796875" style="34" customWidth="1"/>
    <col min="2" max="2" width="71.1796875" style="41" customWidth="1"/>
    <col min="3" max="4" width="20" style="37" customWidth="1"/>
    <col min="5" max="5" width="74.453125" style="37" customWidth="1"/>
    <col min="6" max="6" width="3.1796875" style="37" customWidth="1"/>
    <col min="7" max="7" width="17.90625" style="34" hidden="1" customWidth="1"/>
    <col min="8" max="8" width="13.08984375" style="34" hidden="1" customWidth="1"/>
    <col min="9" max="9" width="27.08984375" style="34" hidden="1" customWidth="1"/>
    <col min="10" max="10" width="30.08984375" style="34" hidden="1" customWidth="1"/>
    <col min="11" max="21" width="16.453125" style="34" hidden="1" customWidth="1"/>
    <col min="22" max="22" width="27.90625" style="34" hidden="1" customWidth="1"/>
    <col min="23" max="16384" width="9.08984375" style="34" hidden="1"/>
  </cols>
  <sheetData>
    <row r="1" spans="1:21" ht="25" x14ac:dyDescent="0.35">
      <c r="A1" s="38"/>
      <c r="B1" s="277" t="s">
        <v>213</v>
      </c>
      <c r="C1" s="278"/>
      <c r="D1" s="278"/>
      <c r="E1" s="278"/>
      <c r="F1" s="38"/>
      <c r="G1" s="65"/>
      <c r="H1" s="51"/>
      <c r="I1" s="51"/>
      <c r="J1" s="51"/>
      <c r="K1" s="49"/>
      <c r="L1" s="50"/>
    </row>
    <row r="2" spans="1:21" x14ac:dyDescent="0.35">
      <c r="B2" s="34"/>
      <c r="C2" s="35"/>
      <c r="D2" s="34"/>
      <c r="E2" s="36"/>
    </row>
    <row r="3" spans="1:21" s="51" customFormat="1" ht="19" customHeight="1" x14ac:dyDescent="0.35">
      <c r="A3" s="34"/>
      <c r="B3" s="279" t="s">
        <v>233</v>
      </c>
      <c r="C3" s="280" t="s">
        <v>68</v>
      </c>
      <c r="D3" s="280" t="s">
        <v>1</v>
      </c>
      <c r="E3" s="281" t="s">
        <v>18</v>
      </c>
      <c r="F3" s="34"/>
      <c r="K3" s="49"/>
      <c r="L3" s="50"/>
      <c r="M3" s="34"/>
      <c r="N3" s="34"/>
      <c r="O3" s="34"/>
      <c r="P3" s="34"/>
      <c r="Q3" s="34"/>
      <c r="R3" s="34"/>
      <c r="S3" s="34"/>
      <c r="T3" s="34"/>
      <c r="U3" s="34"/>
    </row>
    <row r="4" spans="1:21" x14ac:dyDescent="0.35">
      <c r="B4" s="34"/>
      <c r="C4" s="34"/>
      <c r="D4" s="34"/>
      <c r="E4" s="34"/>
      <c r="F4" s="34"/>
    </row>
    <row r="5" spans="1:21" s="51" customFormat="1" ht="18" customHeight="1" x14ac:dyDescent="0.35">
      <c r="A5" s="34"/>
      <c r="B5" s="282" t="s">
        <v>204</v>
      </c>
      <c r="C5" s="283"/>
      <c r="D5" s="284"/>
      <c r="E5" s="285"/>
      <c r="F5" s="34"/>
      <c r="K5" s="49"/>
      <c r="L5" s="50"/>
      <c r="M5" s="34"/>
      <c r="N5" s="34"/>
      <c r="O5" s="34"/>
      <c r="P5" s="34"/>
      <c r="Q5" s="34"/>
      <c r="R5" s="34"/>
      <c r="S5" s="34"/>
      <c r="T5" s="34"/>
      <c r="U5" s="34"/>
    </row>
    <row r="6" spans="1:21" ht="18.5" customHeight="1" x14ac:dyDescent="0.35">
      <c r="B6" s="286" t="s">
        <v>12</v>
      </c>
      <c r="C6" s="303"/>
      <c r="D6" s="11" t="s">
        <v>4</v>
      </c>
      <c r="E6" s="287"/>
      <c r="F6" s="34"/>
    </row>
    <row r="7" spans="1:21" ht="18.5" customHeight="1" x14ac:dyDescent="0.35">
      <c r="B7" s="286" t="s">
        <v>13</v>
      </c>
      <c r="C7" s="303"/>
      <c r="D7" s="11" t="s">
        <v>4</v>
      </c>
      <c r="E7" s="287"/>
      <c r="F7" s="34"/>
    </row>
    <row r="8" spans="1:21" ht="18.5" customHeight="1" x14ac:dyDescent="0.35">
      <c r="B8" s="286" t="s">
        <v>15</v>
      </c>
      <c r="C8" s="303"/>
      <c r="D8" s="11" t="s">
        <v>4</v>
      </c>
      <c r="E8" s="287"/>
      <c r="F8" s="34"/>
    </row>
    <row r="9" spans="1:21" x14ac:dyDescent="0.35">
      <c r="B9" s="34"/>
      <c r="C9" s="34"/>
      <c r="D9" s="34"/>
      <c r="E9" s="34"/>
      <c r="F9" s="34"/>
    </row>
    <row r="10" spans="1:21" s="51" customFormat="1" ht="18" customHeight="1" x14ac:dyDescent="0.35">
      <c r="A10" s="34"/>
      <c r="B10" s="282" t="s">
        <v>209</v>
      </c>
      <c r="C10" s="283"/>
      <c r="D10" s="284"/>
      <c r="E10" s="285"/>
      <c r="F10" s="34"/>
      <c r="K10" s="49"/>
      <c r="L10" s="50"/>
      <c r="M10" s="34"/>
      <c r="N10" s="34"/>
      <c r="O10" s="34"/>
      <c r="P10" s="34"/>
      <c r="Q10" s="34"/>
      <c r="R10" s="34"/>
      <c r="S10" s="34"/>
      <c r="T10" s="34"/>
      <c r="U10" s="34"/>
    </row>
    <row r="11" spans="1:21" ht="18.5" customHeight="1" x14ac:dyDescent="0.35">
      <c r="B11" s="286" t="s">
        <v>42</v>
      </c>
      <c r="C11" s="305"/>
      <c r="D11" s="14" t="s">
        <v>2</v>
      </c>
      <c r="E11" s="287"/>
      <c r="G11" s="58"/>
      <c r="H11" s="58"/>
    </row>
    <row r="12" spans="1:21" ht="18.5" customHeight="1" x14ac:dyDescent="0.35">
      <c r="B12" s="286" t="s">
        <v>212</v>
      </c>
      <c r="C12" s="305"/>
      <c r="D12" s="14" t="s">
        <v>2</v>
      </c>
      <c r="E12" s="287"/>
    </row>
    <row r="13" spans="1:21" ht="18.5" customHeight="1" x14ac:dyDescent="0.35">
      <c r="B13" s="286" t="s">
        <v>13</v>
      </c>
      <c r="C13" s="305"/>
      <c r="D13" s="14" t="s">
        <v>2</v>
      </c>
      <c r="E13" s="287"/>
    </row>
    <row r="14" spans="1:21" ht="18.5" customHeight="1" x14ac:dyDescent="0.35">
      <c r="B14" s="286" t="s">
        <v>44</v>
      </c>
      <c r="C14" s="305"/>
      <c r="D14" s="14" t="s">
        <v>2</v>
      </c>
      <c r="E14" s="287"/>
    </row>
    <row r="15" spans="1:21" x14ac:dyDescent="0.35">
      <c r="B15" s="34"/>
      <c r="C15" s="34"/>
      <c r="D15" s="34"/>
      <c r="E15" s="34"/>
      <c r="F15" s="34"/>
    </row>
    <row r="16" spans="1:21" s="51" customFormat="1" ht="18" customHeight="1" x14ac:dyDescent="0.35">
      <c r="A16" s="34"/>
      <c r="B16" s="282" t="s">
        <v>14</v>
      </c>
      <c r="C16" s="283"/>
      <c r="D16" s="284"/>
      <c r="E16" s="285"/>
      <c r="F16" s="34"/>
      <c r="K16" s="49"/>
      <c r="L16" s="50"/>
      <c r="M16" s="34"/>
      <c r="N16" s="34"/>
      <c r="O16" s="34"/>
      <c r="P16" s="34"/>
      <c r="Q16" s="34"/>
      <c r="R16" s="34"/>
      <c r="S16" s="34"/>
      <c r="T16" s="34"/>
      <c r="U16" s="34"/>
    </row>
    <row r="17" spans="1:21" ht="18.5" customHeight="1" x14ac:dyDescent="0.35">
      <c r="B17" s="286" t="s">
        <v>12</v>
      </c>
      <c r="C17" s="303"/>
      <c r="D17" s="11" t="s">
        <v>3</v>
      </c>
      <c r="E17" s="287"/>
      <c r="F17" s="34"/>
      <c r="G17" s="295"/>
      <c r="H17" s="295"/>
    </row>
    <row r="18" spans="1:21" ht="18.5" customHeight="1" x14ac:dyDescent="0.35">
      <c r="B18" s="286" t="s">
        <v>13</v>
      </c>
      <c r="C18" s="303"/>
      <c r="D18" s="11" t="s">
        <v>3</v>
      </c>
      <c r="E18" s="287"/>
      <c r="F18" s="34"/>
      <c r="G18" s="61"/>
      <c r="H18" s="61"/>
      <c r="I18" s="60"/>
    </row>
    <row r="19" spans="1:21" ht="18.5" customHeight="1" x14ac:dyDescent="0.35">
      <c r="B19" s="286" t="s">
        <v>47</v>
      </c>
      <c r="C19" s="303"/>
      <c r="D19" s="11" t="s">
        <v>3</v>
      </c>
      <c r="E19" s="287"/>
      <c r="F19" s="34"/>
      <c r="H19" s="58"/>
      <c r="I19" s="60"/>
    </row>
    <row r="20" spans="1:21" ht="18" customHeight="1" x14ac:dyDescent="0.35">
      <c r="B20" s="288" t="s">
        <v>0</v>
      </c>
      <c r="C20" s="42">
        <f>SUM(C17:C19)</f>
        <v>0</v>
      </c>
      <c r="D20" s="289" t="s">
        <v>3</v>
      </c>
      <c r="E20" s="290"/>
      <c r="G20" s="60"/>
    </row>
    <row r="21" spans="1:21" x14ac:dyDescent="0.35">
      <c r="B21" s="34"/>
      <c r="C21" s="34"/>
      <c r="D21" s="34"/>
      <c r="E21" s="34"/>
      <c r="F21" s="34"/>
    </row>
    <row r="22" spans="1:21" s="51" customFormat="1" ht="18" customHeight="1" x14ac:dyDescent="0.35">
      <c r="A22" s="34"/>
      <c r="B22" s="282" t="s">
        <v>210</v>
      </c>
      <c r="C22" s="283"/>
      <c r="D22" s="284"/>
      <c r="E22" s="285"/>
      <c r="F22" s="34"/>
      <c r="K22" s="49"/>
      <c r="L22" s="50"/>
      <c r="M22" s="34"/>
      <c r="N22" s="34"/>
      <c r="O22" s="34"/>
      <c r="P22" s="34"/>
      <c r="Q22" s="34"/>
      <c r="R22" s="34"/>
      <c r="S22" s="34"/>
      <c r="T22" s="34"/>
      <c r="U22" s="34"/>
    </row>
    <row r="23" spans="1:21" ht="18.5" customHeight="1" x14ac:dyDescent="0.35">
      <c r="B23" s="286" t="s">
        <v>205</v>
      </c>
      <c r="C23" s="304"/>
      <c r="D23" s="14" t="s">
        <v>17</v>
      </c>
      <c r="E23" s="287"/>
    </row>
    <row r="24" spans="1:21" ht="18.5" customHeight="1" x14ac:dyDescent="0.35">
      <c r="B24" s="286" t="s">
        <v>40</v>
      </c>
      <c r="C24" s="304"/>
      <c r="D24" s="14" t="s">
        <v>17</v>
      </c>
      <c r="E24" s="287"/>
    </row>
    <row r="25" spans="1:21" ht="18.5" customHeight="1" x14ac:dyDescent="0.35">
      <c r="B25" s="286" t="s">
        <v>41</v>
      </c>
      <c r="C25" s="304"/>
      <c r="D25" s="14" t="s">
        <v>17</v>
      </c>
      <c r="E25" s="287"/>
    </row>
    <row r="26" spans="1:21" ht="18.5" customHeight="1" x14ac:dyDescent="0.35">
      <c r="B26" s="288" t="s">
        <v>175</v>
      </c>
      <c r="C26" s="62">
        <f>SUM(C23:C25)</f>
        <v>0</v>
      </c>
      <c r="D26" s="289"/>
      <c r="E26" s="290"/>
    </row>
    <row r="27" spans="1:21" ht="18.5" customHeight="1" x14ac:dyDescent="0.35">
      <c r="B27" s="286" t="s">
        <v>206</v>
      </c>
      <c r="C27" s="304">
        <f>(C11+C12)*C17</f>
        <v>0</v>
      </c>
      <c r="D27" s="14" t="s">
        <v>17</v>
      </c>
      <c r="E27" s="287" t="s">
        <v>300</v>
      </c>
      <c r="G27" s="58"/>
    </row>
    <row r="28" spans="1:21" ht="18.5" customHeight="1" x14ac:dyDescent="0.35">
      <c r="B28" s="286" t="s">
        <v>207</v>
      </c>
      <c r="C28" s="304">
        <f>C13*C18</f>
        <v>0</v>
      </c>
      <c r="D28" s="14" t="s">
        <v>17</v>
      </c>
      <c r="E28" s="287" t="s">
        <v>300</v>
      </c>
      <c r="G28" s="58"/>
    </row>
    <row r="29" spans="1:21" ht="18.5" customHeight="1" x14ac:dyDescent="0.35">
      <c r="B29" s="286" t="s">
        <v>208</v>
      </c>
      <c r="C29" s="304">
        <f>C14*C19</f>
        <v>0</v>
      </c>
      <c r="D29" s="14" t="s">
        <v>17</v>
      </c>
      <c r="E29" s="287" t="s">
        <v>300</v>
      </c>
      <c r="G29" s="60"/>
    </row>
    <row r="30" spans="1:21" ht="18" customHeight="1" x14ac:dyDescent="0.35">
      <c r="B30" s="288" t="s">
        <v>176</v>
      </c>
      <c r="C30" s="62">
        <f>SUM(C27:C29)</f>
        <v>0</v>
      </c>
      <c r="D30" s="289"/>
      <c r="E30" s="290"/>
      <c r="G30" s="60"/>
    </row>
    <row r="31" spans="1:21" ht="18" customHeight="1" x14ac:dyDescent="0.35">
      <c r="B31" s="291" t="s">
        <v>177</v>
      </c>
      <c r="C31" s="292">
        <f>SUM(C26,C30)</f>
        <v>0</v>
      </c>
      <c r="D31" s="293"/>
      <c r="E31" s="294"/>
    </row>
    <row r="32" spans="1:21" x14ac:dyDescent="0.35">
      <c r="B32" s="34"/>
      <c r="C32" s="34"/>
      <c r="D32" s="34"/>
      <c r="E32" s="34"/>
      <c r="F32" s="34"/>
    </row>
    <row r="33" spans="1:21" x14ac:dyDescent="0.35">
      <c r="B33" s="34"/>
      <c r="C33" s="34"/>
      <c r="D33" s="34"/>
      <c r="E33" s="34"/>
      <c r="F33" s="34"/>
    </row>
    <row r="34" spans="1:21" s="51" customFormat="1" ht="19" customHeight="1" x14ac:dyDescent="0.35">
      <c r="A34" s="34"/>
      <c r="B34" s="279" t="s">
        <v>211</v>
      </c>
      <c r="C34" s="280" t="s">
        <v>68</v>
      </c>
      <c r="D34" s="280" t="s">
        <v>1</v>
      </c>
      <c r="E34" s="281" t="s">
        <v>18</v>
      </c>
      <c r="F34" s="34"/>
      <c r="K34" s="49"/>
      <c r="L34" s="50"/>
      <c r="M34" s="34"/>
      <c r="N34" s="34"/>
      <c r="O34" s="34"/>
      <c r="P34" s="34"/>
      <c r="Q34" s="34"/>
      <c r="R34" s="34"/>
      <c r="S34" s="34"/>
      <c r="T34" s="34"/>
      <c r="U34" s="34"/>
    </row>
    <row r="35" spans="1:21" x14ac:dyDescent="0.35">
      <c r="B35" s="34"/>
      <c r="C35" s="34"/>
      <c r="D35" s="34"/>
      <c r="E35" s="34"/>
      <c r="F35" s="34"/>
    </row>
    <row r="36" spans="1:21" s="51" customFormat="1" ht="18" customHeight="1" x14ac:dyDescent="0.35">
      <c r="A36" s="34"/>
      <c r="B36" s="282" t="s">
        <v>74</v>
      </c>
      <c r="C36" s="283"/>
      <c r="D36" s="284"/>
      <c r="E36" s="285"/>
      <c r="F36" s="34"/>
      <c r="K36" s="49"/>
      <c r="L36" s="50"/>
      <c r="M36" s="34"/>
      <c r="N36" s="34"/>
      <c r="O36" s="34"/>
      <c r="P36" s="34"/>
      <c r="Q36" s="34"/>
      <c r="R36" s="34"/>
      <c r="S36" s="34"/>
      <c r="T36" s="34"/>
      <c r="U36" s="34"/>
    </row>
    <row r="37" spans="1:21" s="51" customFormat="1" ht="18" customHeight="1" x14ac:dyDescent="0.35">
      <c r="A37" s="34"/>
      <c r="B37" s="288" t="s">
        <v>243</v>
      </c>
      <c r="C37" s="42"/>
      <c r="D37" s="43"/>
      <c r="E37" s="296"/>
      <c r="F37" s="34"/>
      <c r="K37" s="49"/>
      <c r="L37" s="50"/>
      <c r="M37" s="34"/>
      <c r="N37" s="34"/>
      <c r="O37" s="34"/>
      <c r="P37" s="34"/>
      <c r="Q37" s="34"/>
      <c r="R37" s="34"/>
      <c r="S37" s="34"/>
      <c r="T37" s="34"/>
      <c r="U37" s="34"/>
    </row>
    <row r="38" spans="1:21" ht="18.5" customHeight="1" x14ac:dyDescent="0.35">
      <c r="B38" s="286" t="s">
        <v>252</v>
      </c>
      <c r="C38" s="305"/>
      <c r="D38" s="14" t="s">
        <v>48</v>
      </c>
      <c r="E38" s="287"/>
      <c r="G38" s="58"/>
      <c r="H38" s="58"/>
    </row>
    <row r="39" spans="1:21" ht="18.5" customHeight="1" x14ac:dyDescent="0.35">
      <c r="B39" s="286" t="s">
        <v>253</v>
      </c>
      <c r="C39" s="305"/>
      <c r="D39" s="14" t="s">
        <v>48</v>
      </c>
      <c r="E39" s="287"/>
    </row>
    <row r="40" spans="1:21" ht="18.5" customHeight="1" x14ac:dyDescent="0.35">
      <c r="B40" s="286" t="s">
        <v>254</v>
      </c>
      <c r="C40" s="305"/>
      <c r="D40" s="14" t="s">
        <v>48</v>
      </c>
      <c r="E40" s="287"/>
    </row>
    <row r="41" spans="1:21" s="51" customFormat="1" ht="18" customHeight="1" x14ac:dyDescent="0.35">
      <c r="A41" s="34"/>
      <c r="B41" s="288" t="s">
        <v>244</v>
      </c>
      <c r="C41" s="42"/>
      <c r="D41" s="43"/>
      <c r="E41" s="296"/>
      <c r="F41" s="34"/>
      <c r="K41" s="49"/>
      <c r="L41" s="50"/>
      <c r="M41" s="34"/>
      <c r="N41" s="34"/>
      <c r="O41" s="34"/>
      <c r="P41" s="34"/>
      <c r="Q41" s="34"/>
      <c r="R41" s="34"/>
      <c r="S41" s="34"/>
      <c r="T41" s="34"/>
      <c r="U41" s="34"/>
    </row>
    <row r="42" spans="1:21" ht="18.5" customHeight="1" x14ac:dyDescent="0.35">
      <c r="B42" s="286" t="s">
        <v>256</v>
      </c>
      <c r="C42" s="305"/>
      <c r="D42" s="14" t="s">
        <v>48</v>
      </c>
      <c r="E42" s="287" t="s">
        <v>293</v>
      </c>
      <c r="G42" s="58"/>
      <c r="H42" s="58"/>
    </row>
    <row r="43" spans="1:21" ht="18.5" customHeight="1" x14ac:dyDescent="0.35">
      <c r="B43" s="286" t="s">
        <v>253</v>
      </c>
      <c r="C43" s="305"/>
      <c r="D43" s="14" t="s">
        <v>48</v>
      </c>
      <c r="E43" s="287"/>
    </row>
    <row r="44" spans="1:21" ht="18.5" customHeight="1" x14ac:dyDescent="0.35">
      <c r="B44" s="286" t="s">
        <v>255</v>
      </c>
      <c r="C44" s="305"/>
      <c r="D44" s="14" t="s">
        <v>48</v>
      </c>
      <c r="E44" s="287"/>
    </row>
    <row r="45" spans="1:21" x14ac:dyDescent="0.35">
      <c r="B45" s="34"/>
      <c r="C45" s="34"/>
      <c r="D45" s="34"/>
      <c r="E45" s="34"/>
      <c r="F45" s="34"/>
    </row>
    <row r="46" spans="1:21" s="51" customFormat="1" ht="18" customHeight="1" x14ac:dyDescent="0.35">
      <c r="A46" s="34"/>
      <c r="B46" s="282" t="s">
        <v>162</v>
      </c>
      <c r="C46" s="283"/>
      <c r="D46" s="284"/>
      <c r="E46" s="285"/>
      <c r="F46" s="34"/>
      <c r="K46" s="49"/>
      <c r="L46" s="50"/>
      <c r="M46" s="34"/>
      <c r="N46" s="34"/>
      <c r="O46" s="34"/>
      <c r="P46" s="34"/>
      <c r="Q46" s="34"/>
      <c r="R46" s="34"/>
      <c r="S46" s="34"/>
      <c r="T46" s="34"/>
      <c r="U46" s="34"/>
    </row>
    <row r="47" spans="1:21" ht="18.5" hidden="1" customHeight="1" x14ac:dyDescent="0.35">
      <c r="B47" s="286" t="s">
        <v>182</v>
      </c>
      <c r="C47" s="297">
        <f>1-C48</f>
        <v>0.95</v>
      </c>
      <c r="D47" s="14" t="s">
        <v>5</v>
      </c>
      <c r="E47" s="287"/>
      <c r="G47" s="58"/>
      <c r="H47" s="58"/>
    </row>
    <row r="48" spans="1:21" ht="18.5" customHeight="1" x14ac:dyDescent="0.35">
      <c r="B48" s="286" t="s">
        <v>245</v>
      </c>
      <c r="C48" s="306">
        <v>0.05</v>
      </c>
      <c r="D48" s="14" t="s">
        <v>5</v>
      </c>
      <c r="E48" s="287" t="s">
        <v>248</v>
      </c>
    </row>
    <row r="49" spans="1:21" ht="18.5" customHeight="1" x14ac:dyDescent="0.35">
      <c r="B49" s="286" t="s">
        <v>264</v>
      </c>
      <c r="C49" s="305">
        <v>120</v>
      </c>
      <c r="D49" s="14" t="s">
        <v>17</v>
      </c>
      <c r="E49" s="287" t="s">
        <v>265</v>
      </c>
    </row>
    <row r="50" spans="1:21" ht="18.5" customHeight="1" x14ac:dyDescent="0.35">
      <c r="B50" s="286" t="s">
        <v>246</v>
      </c>
      <c r="C50" s="306">
        <v>0.03</v>
      </c>
      <c r="D50" s="14" t="s">
        <v>5</v>
      </c>
      <c r="E50" s="287" t="s">
        <v>250</v>
      </c>
    </row>
    <row r="51" spans="1:21" ht="18.5" customHeight="1" x14ac:dyDescent="0.35">
      <c r="B51" s="286" t="s">
        <v>247</v>
      </c>
      <c r="C51" s="306">
        <v>0.01</v>
      </c>
      <c r="D51" s="14" t="s">
        <v>5</v>
      </c>
      <c r="E51" s="287" t="s">
        <v>251</v>
      </c>
    </row>
    <row r="52" spans="1:21" ht="14.5" x14ac:dyDescent="0.35">
      <c r="F52" s="58"/>
      <c r="T52" s="298"/>
    </row>
    <row r="53" spans="1:21" s="51" customFormat="1" ht="18" customHeight="1" x14ac:dyDescent="0.35">
      <c r="A53" s="34"/>
      <c r="B53" s="316" t="s">
        <v>294</v>
      </c>
      <c r="C53" s="283"/>
      <c r="D53" s="284"/>
      <c r="E53" s="285"/>
      <c r="F53" s="34"/>
      <c r="K53" s="49"/>
      <c r="L53" s="50"/>
      <c r="M53" s="34"/>
      <c r="N53" s="34"/>
      <c r="O53" s="34"/>
      <c r="P53" s="34"/>
      <c r="Q53" s="34"/>
      <c r="R53" s="34"/>
      <c r="S53" s="34"/>
      <c r="T53" s="34"/>
      <c r="U53" s="34"/>
    </row>
    <row r="54" spans="1:21" ht="18.5" customHeight="1" x14ac:dyDescent="0.35">
      <c r="B54" s="286" t="s">
        <v>36</v>
      </c>
      <c r="C54" s="307">
        <v>0.2</v>
      </c>
      <c r="D54" s="14" t="s">
        <v>35</v>
      </c>
      <c r="E54" s="287" t="s">
        <v>249</v>
      </c>
      <c r="G54" s="58"/>
      <c r="H54" s="58"/>
    </row>
    <row r="55" spans="1:21" ht="18.5" customHeight="1" x14ac:dyDescent="0.35">
      <c r="B55" s="286" t="s">
        <v>38</v>
      </c>
      <c r="C55" s="307">
        <v>0.1</v>
      </c>
      <c r="D55" s="14" t="s">
        <v>35</v>
      </c>
      <c r="E55" s="287" t="s">
        <v>249</v>
      </c>
    </row>
    <row r="56" spans="1:21" ht="18.5" customHeight="1" x14ac:dyDescent="0.35">
      <c r="B56" s="286" t="s">
        <v>39</v>
      </c>
      <c r="C56" s="307">
        <v>0.02</v>
      </c>
      <c r="D56" s="14" t="s">
        <v>35</v>
      </c>
      <c r="E56" s="287" t="s">
        <v>249</v>
      </c>
    </row>
    <row r="57" spans="1:21" ht="18.5" customHeight="1" x14ac:dyDescent="0.35">
      <c r="B57" s="286" t="s">
        <v>37</v>
      </c>
      <c r="C57" s="307">
        <v>0.05</v>
      </c>
      <c r="D57" s="14" t="s">
        <v>35</v>
      </c>
      <c r="E57" s="287" t="s">
        <v>249</v>
      </c>
    </row>
    <row r="58" spans="1:21" ht="14.5" x14ac:dyDescent="0.35">
      <c r="F58" s="58"/>
      <c r="T58" s="298"/>
    </row>
    <row r="59" spans="1:21" s="51" customFormat="1" ht="18" customHeight="1" x14ac:dyDescent="0.35">
      <c r="A59" s="34"/>
      <c r="B59" s="282" t="s">
        <v>219</v>
      </c>
      <c r="C59" s="283"/>
      <c r="D59" s="284"/>
      <c r="E59" s="285"/>
      <c r="F59" s="34"/>
      <c r="K59" s="49"/>
      <c r="L59" s="50"/>
      <c r="M59" s="34"/>
      <c r="N59" s="34"/>
      <c r="O59" s="34"/>
      <c r="P59" s="34"/>
      <c r="Q59" s="34"/>
      <c r="R59" s="34"/>
      <c r="S59" s="34"/>
      <c r="T59" s="34"/>
      <c r="U59" s="34"/>
    </row>
    <row r="60" spans="1:21" ht="18.5" customHeight="1" x14ac:dyDescent="0.35">
      <c r="B60" s="286" t="s">
        <v>262</v>
      </c>
      <c r="C60" s="297">
        <v>0.7</v>
      </c>
      <c r="D60" s="14" t="s">
        <v>5</v>
      </c>
      <c r="E60" s="287" t="s">
        <v>295</v>
      </c>
    </row>
    <row r="61" spans="1:21" ht="36.5" customHeight="1" x14ac:dyDescent="0.35">
      <c r="B61" s="317" t="s">
        <v>303</v>
      </c>
      <c r="C61" s="297">
        <v>0.8</v>
      </c>
      <c r="D61" s="14" t="s">
        <v>5</v>
      </c>
      <c r="E61" s="287" t="s">
        <v>296</v>
      </c>
    </row>
    <row r="62" spans="1:21" ht="18.5" customHeight="1" x14ac:dyDescent="0.35">
      <c r="B62" s="286" t="s">
        <v>218</v>
      </c>
      <c r="C62" s="299">
        <v>0.5</v>
      </c>
      <c r="D62" s="14" t="s">
        <v>24</v>
      </c>
      <c r="E62" s="287" t="s">
        <v>297</v>
      </c>
    </row>
    <row r="63" spans="1:21" ht="18.5" customHeight="1" x14ac:dyDescent="0.35">
      <c r="B63" s="286" t="s">
        <v>257</v>
      </c>
      <c r="C63" s="297">
        <v>0.05</v>
      </c>
      <c r="D63" s="14" t="s">
        <v>5</v>
      </c>
      <c r="E63" s="287" t="s">
        <v>298</v>
      </c>
    </row>
    <row r="64" spans="1:21" ht="18.5" customHeight="1" x14ac:dyDescent="0.35">
      <c r="B64" s="286" t="s">
        <v>258</v>
      </c>
      <c r="C64" s="297">
        <v>0.25</v>
      </c>
      <c r="D64" s="14" t="s">
        <v>5</v>
      </c>
      <c r="E64" s="287" t="s">
        <v>299</v>
      </c>
    </row>
    <row r="65" spans="1:21" x14ac:dyDescent="0.35"/>
    <row r="66" spans="1:21" s="51" customFormat="1" ht="18" customHeight="1" x14ac:dyDescent="0.35">
      <c r="A66" s="34"/>
      <c r="B66" s="282" t="s">
        <v>225</v>
      </c>
      <c r="C66" s="283"/>
      <c r="D66" s="284"/>
      <c r="E66" s="285"/>
      <c r="F66" s="34"/>
      <c r="K66" s="49"/>
      <c r="L66" s="50"/>
      <c r="M66" s="34"/>
      <c r="N66" s="34"/>
      <c r="O66" s="34"/>
      <c r="P66" s="34"/>
      <c r="Q66" s="34"/>
      <c r="R66" s="34"/>
      <c r="S66" s="34"/>
      <c r="T66" s="34"/>
      <c r="U66" s="34"/>
    </row>
    <row r="67" spans="1:21" ht="18.5" customHeight="1" x14ac:dyDescent="0.35">
      <c r="B67" s="286" t="s">
        <v>226</v>
      </c>
      <c r="C67" s="308"/>
      <c r="D67" s="14" t="s">
        <v>229</v>
      </c>
      <c r="E67" s="287" t="s">
        <v>284</v>
      </c>
    </row>
    <row r="68" spans="1:21" ht="18.5" customHeight="1" x14ac:dyDescent="0.35">
      <c r="B68" s="286" t="s">
        <v>227</v>
      </c>
      <c r="C68" s="300">
        <f>ROUND('Inputs &amp; Values'!C50*'Sustainable Kerbside Model'!C8,1)</f>
        <v>0</v>
      </c>
      <c r="D68" s="14" t="s">
        <v>229</v>
      </c>
      <c r="E68" s="287" t="s">
        <v>263</v>
      </c>
    </row>
    <row r="69" spans="1:21" ht="18.5" customHeight="1" x14ac:dyDescent="0.35">
      <c r="B69" s="286" t="s">
        <v>228</v>
      </c>
      <c r="C69" s="300">
        <f>ROUND('Inputs &amp; Values'!C51*'Sustainable Kerbside Model'!C9,1)</f>
        <v>0</v>
      </c>
      <c r="D69" s="14" t="s">
        <v>229</v>
      </c>
      <c r="E69" s="287" t="s">
        <v>263</v>
      </c>
    </row>
    <row r="70" spans="1:21" ht="18.5" customHeight="1" x14ac:dyDescent="0.35">
      <c r="B70" s="286" t="s">
        <v>79</v>
      </c>
      <c r="C70" s="305"/>
      <c r="D70" s="14" t="s">
        <v>8</v>
      </c>
      <c r="E70" s="287"/>
    </row>
    <row r="71" spans="1:21" ht="18.5" customHeight="1" x14ac:dyDescent="0.35">
      <c r="B71" s="286" t="s">
        <v>80</v>
      </c>
      <c r="C71" s="305"/>
      <c r="D71" s="14" t="s">
        <v>8</v>
      </c>
      <c r="E71" s="287"/>
    </row>
    <row r="72" spans="1:21" ht="18.5" customHeight="1" x14ac:dyDescent="0.35">
      <c r="B72" s="286" t="s">
        <v>194</v>
      </c>
      <c r="C72" s="305"/>
      <c r="D72" s="14" t="s">
        <v>8</v>
      </c>
      <c r="E72" s="287"/>
    </row>
    <row r="73" spans="1:21" ht="18.5" customHeight="1" x14ac:dyDescent="0.35">
      <c r="B73" s="286" t="s">
        <v>10</v>
      </c>
      <c r="C73" s="305"/>
      <c r="D73" s="14" t="s">
        <v>11</v>
      </c>
      <c r="E73" s="287"/>
    </row>
    <row r="74" spans="1:21" ht="18.5" customHeight="1" x14ac:dyDescent="0.35">
      <c r="B74" s="286" t="s">
        <v>7</v>
      </c>
      <c r="C74" s="305"/>
      <c r="D74" s="14" t="s">
        <v>9</v>
      </c>
      <c r="E74" s="287"/>
    </row>
    <row r="75" spans="1:21" ht="18.5" customHeight="1" x14ac:dyDescent="0.35">
      <c r="B75" s="286" t="s">
        <v>22</v>
      </c>
      <c r="C75" s="305"/>
      <c r="D75" s="14" t="s">
        <v>31</v>
      </c>
      <c r="E75" s="287"/>
    </row>
    <row r="76" spans="1:21" ht="18.5" customHeight="1" x14ac:dyDescent="0.35">
      <c r="B76" s="286" t="s">
        <v>259</v>
      </c>
      <c r="C76" s="305"/>
      <c r="D76" s="14" t="s">
        <v>123</v>
      </c>
      <c r="E76" s="287" t="s">
        <v>260</v>
      </c>
    </row>
    <row r="77" spans="1:21" ht="18.5" customHeight="1" x14ac:dyDescent="0.35">
      <c r="B77" s="286" t="s">
        <v>203</v>
      </c>
      <c r="C77" s="305"/>
      <c r="D77" s="14" t="s">
        <v>112</v>
      </c>
      <c r="E77" s="287"/>
    </row>
    <row r="78" spans="1:21" x14ac:dyDescent="0.35">
      <c r="B78" s="34"/>
      <c r="C78" s="301"/>
      <c r="D78" s="302"/>
      <c r="E78" s="50"/>
    </row>
    <row r="79" spans="1:21" ht="13" customHeight="1" x14ac:dyDescent="0.35">
      <c r="F79" s="34"/>
      <c r="T79" s="298"/>
    </row>
    <row r="80" spans="1:21" s="51" customFormat="1" ht="19" customHeight="1" x14ac:dyDescent="0.35">
      <c r="A80" s="34"/>
      <c r="B80" s="279" t="s">
        <v>98</v>
      </c>
      <c r="C80" s="280" t="s">
        <v>68</v>
      </c>
      <c r="D80" s="280" t="s">
        <v>1</v>
      </c>
      <c r="E80" s="281" t="s">
        <v>18</v>
      </c>
      <c r="F80" s="34"/>
      <c r="K80" s="49"/>
      <c r="L80" s="50"/>
      <c r="M80" s="34"/>
      <c r="N80" s="34"/>
      <c r="O80" s="34"/>
      <c r="P80" s="34"/>
      <c r="Q80" s="34"/>
      <c r="R80" s="34"/>
      <c r="S80" s="34"/>
      <c r="T80" s="34"/>
      <c r="U80" s="34"/>
    </row>
    <row r="81" spans="2:21" x14ac:dyDescent="0.35">
      <c r="B81" s="34"/>
      <c r="C81" s="34"/>
      <c r="D81" s="34"/>
      <c r="E81" s="34"/>
      <c r="F81" s="34"/>
    </row>
    <row r="82" spans="2:21" ht="18.5" customHeight="1" x14ac:dyDescent="0.35">
      <c r="B82" s="3" t="s">
        <v>88</v>
      </c>
      <c r="C82" s="28">
        <v>0.57199999999999995</v>
      </c>
      <c r="D82" s="29" t="s">
        <v>261</v>
      </c>
      <c r="E82" s="287" t="s">
        <v>321</v>
      </c>
      <c r="F82" s="34"/>
    </row>
    <row r="83" spans="2:21" ht="18.5" customHeight="1" x14ac:dyDescent="0.35">
      <c r="B83" s="3" t="s">
        <v>89</v>
      </c>
      <c r="C83" s="28">
        <v>0.22370000000000001</v>
      </c>
      <c r="D83" s="29" t="s">
        <v>261</v>
      </c>
      <c r="E83" s="287" t="s">
        <v>322</v>
      </c>
      <c r="F83" s="34"/>
    </row>
    <row r="84" spans="2:21" ht="18.5" customHeight="1" x14ac:dyDescent="0.35">
      <c r="B84" s="3" t="s">
        <v>95</v>
      </c>
      <c r="C84" s="28">
        <v>0.23094661463752644</v>
      </c>
      <c r="D84" s="30" t="s">
        <v>90</v>
      </c>
      <c r="E84" s="287" t="s">
        <v>322</v>
      </c>
      <c r="F84" s="34"/>
    </row>
    <row r="85" spans="2:21" ht="18.5" customHeight="1" x14ac:dyDescent="0.35">
      <c r="B85" s="3" t="s">
        <v>96</v>
      </c>
      <c r="C85" s="28">
        <v>1.4947687766665279</v>
      </c>
      <c r="D85" s="30" t="s">
        <v>91</v>
      </c>
      <c r="E85" s="287" t="s">
        <v>322</v>
      </c>
      <c r="F85" s="34"/>
    </row>
    <row r="86" spans="2:21" x14ac:dyDescent="0.35">
      <c r="B86" s="3" t="s">
        <v>197</v>
      </c>
      <c r="C86" s="304">
        <v>30</v>
      </c>
      <c r="D86" s="29" t="s">
        <v>261</v>
      </c>
      <c r="E86" s="287" t="s">
        <v>301</v>
      </c>
      <c r="F86" s="34"/>
    </row>
    <row r="87" spans="2:21" ht="28" x14ac:dyDescent="0.35">
      <c r="B87" s="3" t="s">
        <v>93</v>
      </c>
      <c r="C87" s="7">
        <v>6.1</v>
      </c>
      <c r="D87" s="30" t="s">
        <v>92</v>
      </c>
      <c r="E87" s="287"/>
      <c r="F87" s="34"/>
    </row>
    <row r="88" spans="2:21" ht="18.5" customHeight="1" x14ac:dyDescent="0.35">
      <c r="B88" s="318" t="s">
        <v>302</v>
      </c>
      <c r="C88" s="4">
        <v>334</v>
      </c>
      <c r="D88" s="30" t="s">
        <v>26</v>
      </c>
      <c r="E88" s="312"/>
      <c r="F88" s="34"/>
    </row>
    <row r="89" spans="2:21" x14ac:dyDescent="0.35"/>
    <row r="90" spans="2:21" x14ac:dyDescent="0.35"/>
    <row r="93" spans="2:21" ht="14.5" hidden="1" x14ac:dyDescent="0.35">
      <c r="U93" s="298"/>
    </row>
    <row r="94" spans="2:21" ht="14.5" hidden="1" x14ac:dyDescent="0.35">
      <c r="U94" s="298"/>
    </row>
    <row r="95" spans="2:21" ht="14.5" hidden="1" x14ac:dyDescent="0.35">
      <c r="U95" s="298"/>
    </row>
    <row r="96" spans="2:21" ht="14.5" hidden="1" x14ac:dyDescent="0.35">
      <c r="U96" s="298"/>
    </row>
    <row r="97" spans="21:21" ht="14.5" hidden="1" x14ac:dyDescent="0.35">
      <c r="U97" s="298"/>
    </row>
    <row r="98" spans="21:21" ht="14.5" hidden="1" x14ac:dyDescent="0.35">
      <c r="U98" s="298"/>
    </row>
    <row r="99" spans="21:21" ht="14.5" hidden="1" x14ac:dyDescent="0.35">
      <c r="U99" s="298"/>
    </row>
    <row r="100" spans="21:21" ht="14.5" hidden="1" x14ac:dyDescent="0.35">
      <c r="U100" s="298"/>
    </row>
    <row r="101" spans="21:21" ht="14.5" hidden="1" x14ac:dyDescent="0.35">
      <c r="U101" s="298"/>
    </row>
    <row r="102" spans="21:21" ht="14.5" hidden="1" x14ac:dyDescent="0.35">
      <c r="U102" s="298"/>
    </row>
    <row r="103" spans="21:21" ht="14.5" hidden="1" x14ac:dyDescent="0.35">
      <c r="U103" s="298"/>
    </row>
    <row r="104" spans="21:21" ht="14.5" hidden="1" x14ac:dyDescent="0.35">
      <c r="U104" s="298"/>
    </row>
    <row r="105" spans="21:21" ht="14.5" hidden="1" x14ac:dyDescent="0.35">
      <c r="U105" s="298"/>
    </row>
    <row r="106" spans="21:21" ht="14.5" hidden="1" x14ac:dyDescent="0.35">
      <c r="U106" s="298"/>
    </row>
    <row r="107" spans="21:21" ht="14.5" hidden="1" x14ac:dyDescent="0.35">
      <c r="U107" s="298"/>
    </row>
    <row r="108" spans="21:21" ht="14.5" hidden="1" x14ac:dyDescent="0.35">
      <c r="U108" s="298"/>
    </row>
    <row r="109" spans="21:21" ht="14.5" hidden="1" x14ac:dyDescent="0.35">
      <c r="U109" s="298"/>
    </row>
  </sheetData>
  <sheetProtection algorithmName="SHA-512" hashValue="0PQq9v/jbpM/SaGuo8nPx2tX+pY7bQF7f4KjlmMfZkmZDfOptGWpG2NYEpXnTezf+8AEh6R1+/4cU1NMNhGEAg==" saltValue="uQQmICy0VVD4VJ43a16dsw==" spinCount="100000" sheet="1" objects="1" scenarios="1"/>
  <pageMargins left="0.7" right="0.7" top="0.75" bottom="0.75" header="0.3" footer="0.3"/>
  <pageSetup paperSize="9" orientation="portrait" r:id="rId1"/>
  <ignoredErrors>
    <ignoredError sqref="C27:C2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F6389-2699-46BA-A1EF-7196E86B710B}">
  <sheetPr>
    <tabColor rgb="FFEDF4D6"/>
  </sheetPr>
  <dimension ref="A1:V145"/>
  <sheetViews>
    <sheetView zoomScale="145" zoomScaleNormal="145" workbookViewId="0">
      <selection activeCell="B10" sqref="B10"/>
    </sheetView>
  </sheetViews>
  <sheetFormatPr defaultColWidth="0" defaultRowHeight="14" zeroHeight="1" x14ac:dyDescent="0.35"/>
  <cols>
    <col min="1" max="1" width="3.1796875" style="158" customWidth="1"/>
    <col min="2" max="2" width="53" style="215" customWidth="1"/>
    <col min="3" max="4" width="20" style="158" customWidth="1"/>
    <col min="5" max="5" width="54.1796875" style="158" customWidth="1"/>
    <col min="6" max="6" width="3.1796875" style="158" customWidth="1"/>
    <col min="7" max="8" width="15.08984375" style="155" hidden="1" customWidth="1"/>
    <col min="9" max="9" width="16.90625" style="155" hidden="1" customWidth="1"/>
    <col min="10" max="10" width="21.26953125" style="155" hidden="1" customWidth="1"/>
    <col min="11" max="11" width="15.08984375" style="156" hidden="1" customWidth="1"/>
    <col min="12" max="12" width="23.7265625" style="157" hidden="1" customWidth="1"/>
    <col min="13" max="21" width="16.453125" style="75" hidden="1" customWidth="1"/>
    <col min="22" max="22" width="27.90625" style="75" hidden="1" customWidth="1"/>
    <col min="23" max="16384" width="9.08984375" style="75" hidden="1"/>
  </cols>
  <sheetData>
    <row r="1" spans="1:21" ht="25" x14ac:dyDescent="0.35">
      <c r="A1" s="153"/>
      <c r="B1" s="320" t="s">
        <v>285</v>
      </c>
      <c r="C1" s="261"/>
      <c r="D1" s="261"/>
      <c r="E1" s="261"/>
      <c r="F1" s="153"/>
      <c r="G1" s="154"/>
    </row>
    <row r="2" spans="1:21" ht="24" customHeight="1" x14ac:dyDescent="0.35">
      <c r="A2" s="153"/>
      <c r="B2" s="327" t="s">
        <v>311</v>
      </c>
      <c r="C2" s="327"/>
      <c r="D2" s="327"/>
      <c r="E2" s="327"/>
      <c r="F2" s="153"/>
      <c r="G2" s="154"/>
    </row>
    <row r="3" spans="1:21" x14ac:dyDescent="0.35">
      <c r="B3" s="75"/>
      <c r="C3" s="159"/>
      <c r="D3" s="75"/>
      <c r="E3" s="160"/>
    </row>
    <row r="4" spans="1:21" s="161" customFormat="1" ht="22" customHeight="1" x14ac:dyDescent="0.35">
      <c r="B4" s="262" t="s">
        <v>217</v>
      </c>
      <c r="C4" s="263" t="s">
        <v>68</v>
      </c>
      <c r="D4" s="263" t="s">
        <v>1</v>
      </c>
      <c r="E4" s="263" t="s">
        <v>18</v>
      </c>
    </row>
    <row r="5" spans="1:21" s="161" customFormat="1" ht="16" x14ac:dyDescent="0.35">
      <c r="B5" s="162"/>
      <c r="C5" s="163"/>
      <c r="D5" s="163"/>
      <c r="E5" s="163"/>
    </row>
    <row r="6" spans="1:21" s="155" customFormat="1" ht="18" customHeight="1" x14ac:dyDescent="0.35">
      <c r="A6" s="75"/>
      <c r="B6" s="164" t="s">
        <v>204</v>
      </c>
      <c r="C6" s="165"/>
      <c r="D6" s="166"/>
      <c r="E6" s="167"/>
      <c r="F6" s="75"/>
      <c r="K6" s="156"/>
      <c r="L6" s="157"/>
      <c r="M6" s="75"/>
      <c r="N6" s="75"/>
      <c r="O6" s="75"/>
      <c r="P6" s="75"/>
      <c r="Q6" s="75"/>
      <c r="R6" s="75"/>
      <c r="S6" s="75"/>
      <c r="T6" s="75"/>
      <c r="U6" s="75"/>
    </row>
    <row r="7" spans="1:21" ht="18" customHeight="1" x14ac:dyDescent="0.35">
      <c r="A7" s="75"/>
      <c r="B7" s="321" t="s">
        <v>288</v>
      </c>
      <c r="C7" s="168"/>
      <c r="D7" s="169"/>
      <c r="E7" s="78"/>
      <c r="F7" s="75"/>
    </row>
    <row r="8" spans="1:21" ht="18" customHeight="1" x14ac:dyDescent="0.35">
      <c r="A8" s="75"/>
      <c r="B8" s="13" t="s">
        <v>280</v>
      </c>
      <c r="C8" s="170">
        <f>'Inputs &amp; Values'!C6*'Inputs &amp; Values'!$C$47</f>
        <v>0</v>
      </c>
      <c r="D8" s="171" t="s">
        <v>4</v>
      </c>
      <c r="E8" s="79" t="s">
        <v>263</v>
      </c>
      <c r="F8" s="75"/>
    </row>
    <row r="9" spans="1:21" ht="18" customHeight="1" x14ac:dyDescent="0.35">
      <c r="A9" s="75"/>
      <c r="B9" s="13" t="s">
        <v>279</v>
      </c>
      <c r="C9" s="170">
        <f>'Inputs &amp; Values'!C7*'Inputs &amp; Values'!$C$47</f>
        <v>0</v>
      </c>
      <c r="D9" s="171" t="s">
        <v>4</v>
      </c>
      <c r="E9" s="79" t="s">
        <v>263</v>
      </c>
      <c r="F9" s="75"/>
    </row>
    <row r="10" spans="1:21" ht="18" customHeight="1" x14ac:dyDescent="0.35">
      <c r="A10" s="75"/>
      <c r="B10" s="13" t="s">
        <v>281</v>
      </c>
      <c r="C10" s="170">
        <f>'Inputs &amp; Values'!C8*'Inputs &amp; Values'!$C$47</f>
        <v>0</v>
      </c>
      <c r="D10" s="171" t="s">
        <v>4</v>
      </c>
      <c r="E10" s="79" t="s">
        <v>263</v>
      </c>
      <c r="F10" s="75"/>
    </row>
    <row r="11" spans="1:21" ht="18" customHeight="1" x14ac:dyDescent="0.35">
      <c r="A11" s="75"/>
      <c r="B11" s="321" t="s">
        <v>287</v>
      </c>
      <c r="C11" s="168"/>
      <c r="D11" s="169"/>
      <c r="E11" s="78"/>
      <c r="F11" s="75"/>
    </row>
    <row r="12" spans="1:21" ht="18" customHeight="1" x14ac:dyDescent="0.35">
      <c r="A12" s="75"/>
      <c r="B12" s="13" t="s">
        <v>282</v>
      </c>
      <c r="C12" s="170">
        <f>'Inputs &amp; Values'!C6*'Inputs &amp; Values'!$C$48</f>
        <v>0</v>
      </c>
      <c r="D12" s="171" t="s">
        <v>4</v>
      </c>
      <c r="E12" s="79" t="s">
        <v>263</v>
      </c>
      <c r="F12" s="75"/>
    </row>
    <row r="13" spans="1:21" ht="18" customHeight="1" x14ac:dyDescent="0.35">
      <c r="A13" s="75"/>
      <c r="B13" s="13" t="s">
        <v>279</v>
      </c>
      <c r="C13" s="170">
        <f>'Inputs &amp; Values'!C7*'Inputs &amp; Values'!$C$48</f>
        <v>0</v>
      </c>
      <c r="D13" s="171" t="s">
        <v>4</v>
      </c>
      <c r="E13" s="79" t="s">
        <v>263</v>
      </c>
      <c r="F13" s="75"/>
    </row>
    <row r="14" spans="1:21" ht="18" customHeight="1" x14ac:dyDescent="0.35">
      <c r="A14" s="75"/>
      <c r="B14" s="13" t="s">
        <v>283</v>
      </c>
      <c r="C14" s="170">
        <f>'Inputs &amp; Values'!C8*'Inputs &amp; Values'!$C$48</f>
        <v>0</v>
      </c>
      <c r="D14" s="171" t="s">
        <v>4</v>
      </c>
      <c r="E14" s="79" t="s">
        <v>263</v>
      </c>
      <c r="F14" s="75"/>
    </row>
    <row r="15" spans="1:21" ht="11" customHeight="1" x14ac:dyDescent="0.35">
      <c r="A15" s="75"/>
      <c r="B15" s="75"/>
      <c r="C15" s="75"/>
      <c r="D15" s="75"/>
      <c r="E15" s="75"/>
      <c r="F15" s="75"/>
    </row>
    <row r="16" spans="1:21" s="155" customFormat="1" ht="18" customHeight="1" x14ac:dyDescent="0.35">
      <c r="A16" s="75"/>
      <c r="B16" s="164" t="s">
        <v>220</v>
      </c>
      <c r="C16" s="165"/>
      <c r="D16" s="166"/>
      <c r="E16" s="167"/>
      <c r="F16" s="75"/>
      <c r="K16" s="156"/>
      <c r="L16" s="157"/>
      <c r="M16" s="75"/>
      <c r="N16" s="75"/>
      <c r="O16" s="75"/>
      <c r="P16" s="75"/>
      <c r="Q16" s="75"/>
      <c r="R16" s="75"/>
      <c r="S16" s="75"/>
      <c r="T16" s="75"/>
      <c r="U16" s="75"/>
    </row>
    <row r="17" spans="1:21" ht="18" customHeight="1" x14ac:dyDescent="0.35">
      <c r="A17" s="75"/>
      <c r="B17" s="321" t="s">
        <v>288</v>
      </c>
      <c r="C17" s="168"/>
      <c r="D17" s="169" t="s">
        <v>46</v>
      </c>
      <c r="E17" s="78"/>
      <c r="F17" s="75"/>
    </row>
    <row r="18" spans="1:21" ht="18" customHeight="1" x14ac:dyDescent="0.35">
      <c r="A18" s="75"/>
      <c r="B18" s="322" t="s">
        <v>280</v>
      </c>
      <c r="C18" s="170">
        <f>C8*26</f>
        <v>0</v>
      </c>
      <c r="D18" s="171" t="s">
        <v>46</v>
      </c>
      <c r="E18" s="79" t="s">
        <v>263</v>
      </c>
      <c r="F18" s="75"/>
    </row>
    <row r="19" spans="1:21" ht="18" customHeight="1" x14ac:dyDescent="0.35">
      <c r="A19" s="75"/>
      <c r="B19" s="322" t="s">
        <v>279</v>
      </c>
      <c r="C19" s="170">
        <f>C9*26</f>
        <v>0</v>
      </c>
      <c r="D19" s="171" t="s">
        <v>46</v>
      </c>
      <c r="E19" s="79" t="s">
        <v>263</v>
      </c>
      <c r="F19" s="75"/>
    </row>
    <row r="20" spans="1:21" ht="18" customHeight="1" x14ac:dyDescent="0.35">
      <c r="A20" s="75"/>
      <c r="B20" s="322" t="s">
        <v>281</v>
      </c>
      <c r="C20" s="170">
        <f>C10*52</f>
        <v>0</v>
      </c>
      <c r="D20" s="171" t="s">
        <v>46</v>
      </c>
      <c r="E20" s="79" t="s">
        <v>263</v>
      </c>
      <c r="F20" s="75"/>
    </row>
    <row r="21" spans="1:21" s="172" customFormat="1" ht="18" customHeight="1" x14ac:dyDescent="0.35">
      <c r="B21" s="173" t="s">
        <v>135</v>
      </c>
      <c r="C21" s="174">
        <f>SUM(C18:C20)</f>
        <v>0</v>
      </c>
      <c r="D21" s="268" t="s">
        <v>46</v>
      </c>
      <c r="E21" s="79" t="s">
        <v>263</v>
      </c>
      <c r="G21" s="175"/>
      <c r="H21" s="175"/>
      <c r="I21" s="175"/>
      <c r="J21" s="175"/>
      <c r="K21" s="176"/>
    </row>
    <row r="22" spans="1:21" ht="18" customHeight="1" x14ac:dyDescent="0.35">
      <c r="A22" s="75"/>
      <c r="B22" s="321" t="s">
        <v>287</v>
      </c>
      <c r="C22" s="168"/>
      <c r="D22" s="169" t="s">
        <v>46</v>
      </c>
      <c r="E22" s="78"/>
      <c r="F22" s="75"/>
    </row>
    <row r="23" spans="1:21" ht="18" customHeight="1" x14ac:dyDescent="0.35">
      <c r="A23" s="75"/>
      <c r="B23" s="13" t="s">
        <v>282</v>
      </c>
      <c r="C23" s="170">
        <f>C12*52</f>
        <v>0</v>
      </c>
      <c r="D23" s="171" t="s">
        <v>46</v>
      </c>
      <c r="E23" s="79" t="s">
        <v>263</v>
      </c>
      <c r="F23" s="75"/>
      <c r="G23" s="177"/>
    </row>
    <row r="24" spans="1:21" ht="18" customHeight="1" x14ac:dyDescent="0.35">
      <c r="A24" s="75"/>
      <c r="B24" s="13" t="s">
        <v>279</v>
      </c>
      <c r="C24" s="170">
        <f>C13*26</f>
        <v>0</v>
      </c>
      <c r="D24" s="171" t="s">
        <v>46</v>
      </c>
      <c r="E24" s="79" t="s">
        <v>263</v>
      </c>
      <c r="F24" s="75"/>
    </row>
    <row r="25" spans="1:21" ht="18" customHeight="1" x14ac:dyDescent="0.35">
      <c r="A25" s="75"/>
      <c r="B25" s="13" t="s">
        <v>283</v>
      </c>
      <c r="C25" s="170">
        <f>C14*26</f>
        <v>0</v>
      </c>
      <c r="D25" s="171" t="s">
        <v>46</v>
      </c>
      <c r="E25" s="79" t="s">
        <v>263</v>
      </c>
      <c r="F25" s="75"/>
    </row>
    <row r="26" spans="1:21" ht="18" customHeight="1" x14ac:dyDescent="0.35">
      <c r="A26" s="75"/>
      <c r="B26" s="15" t="s">
        <v>135</v>
      </c>
      <c r="C26" s="174">
        <f>SUM(C23:C25)</f>
        <v>0</v>
      </c>
      <c r="D26" s="269" t="s">
        <v>46</v>
      </c>
      <c r="E26" s="79" t="s">
        <v>263</v>
      </c>
      <c r="F26" s="75"/>
    </row>
    <row r="27" spans="1:21" ht="18" customHeight="1" x14ac:dyDescent="0.35">
      <c r="A27" s="75"/>
      <c r="B27" s="94" t="s">
        <v>16</v>
      </c>
      <c r="C27" s="178">
        <f>SUM(C21,C26)</f>
        <v>0</v>
      </c>
      <c r="D27" s="179" t="s">
        <v>46</v>
      </c>
      <c r="E27" s="98"/>
      <c r="F27" s="75"/>
    </row>
    <row r="28" spans="1:21" x14ac:dyDescent="0.35">
      <c r="A28" s="75"/>
      <c r="B28" s="75"/>
      <c r="C28" s="75"/>
      <c r="D28" s="75"/>
      <c r="E28" s="75"/>
      <c r="F28" s="75"/>
    </row>
    <row r="29" spans="1:21" s="155" customFormat="1" ht="18" customHeight="1" x14ac:dyDescent="0.35">
      <c r="A29" s="75"/>
      <c r="B29" s="323" t="s">
        <v>304</v>
      </c>
      <c r="C29" s="165"/>
      <c r="D29" s="166"/>
      <c r="E29" s="167"/>
      <c r="F29" s="75"/>
      <c r="K29" s="156"/>
      <c r="L29" s="157"/>
      <c r="M29" s="75"/>
      <c r="N29" s="75"/>
      <c r="O29" s="75"/>
      <c r="P29" s="75"/>
      <c r="Q29" s="75"/>
      <c r="R29" s="75"/>
      <c r="S29" s="75"/>
      <c r="T29" s="75"/>
      <c r="U29" s="75"/>
    </row>
    <row r="30" spans="1:21" ht="18" customHeight="1" x14ac:dyDescent="0.35">
      <c r="A30" s="75"/>
      <c r="B30" s="13" t="s">
        <v>36</v>
      </c>
      <c r="C30" s="180" t="str">
        <f>IFERROR(('Inputs &amp; Values'!$C$17*1000)*'Inputs &amp; Values'!C54/52/'Inputs &amp; Values'!$C$6,"")</f>
        <v/>
      </c>
      <c r="D30" s="181" t="s">
        <v>24</v>
      </c>
      <c r="E30" s="79" t="s">
        <v>263</v>
      </c>
      <c r="F30" s="75"/>
      <c r="G30" s="182"/>
    </row>
    <row r="31" spans="1:21" ht="18" customHeight="1" x14ac:dyDescent="0.35">
      <c r="A31" s="75"/>
      <c r="B31" s="13" t="s">
        <v>38</v>
      </c>
      <c r="C31" s="180" t="str">
        <f>IFERROR(('Inputs &amp; Values'!$C$17*1000)*'Inputs &amp; Values'!C55/52/'Inputs &amp; Values'!$C$6,"")</f>
        <v/>
      </c>
      <c r="D31" s="181" t="s">
        <v>24</v>
      </c>
      <c r="E31" s="79" t="s">
        <v>263</v>
      </c>
      <c r="F31" s="75"/>
    </row>
    <row r="32" spans="1:21" ht="18" customHeight="1" x14ac:dyDescent="0.35">
      <c r="A32" s="75"/>
      <c r="B32" s="106" t="s">
        <v>51</v>
      </c>
      <c r="C32" s="180" t="str">
        <f>IFERROR(('Inputs &amp; Values'!$C$17*1000)*'Inputs &amp; Values'!C56/52/'Inputs &amp; Values'!$C$6,"")</f>
        <v/>
      </c>
      <c r="D32" s="183" t="s">
        <v>24</v>
      </c>
      <c r="E32" s="79" t="s">
        <v>263</v>
      </c>
      <c r="F32" s="75"/>
    </row>
    <row r="33" spans="1:21" ht="18" customHeight="1" x14ac:dyDescent="0.35">
      <c r="A33" s="75"/>
      <c r="B33" s="32" t="s">
        <v>56</v>
      </c>
      <c r="C33" s="219">
        <f>SUM(C30:C32)</f>
        <v>0</v>
      </c>
      <c r="D33" s="220" t="s">
        <v>24</v>
      </c>
      <c r="E33" s="80"/>
      <c r="F33" s="75"/>
      <c r="G33" s="184"/>
    </row>
    <row r="34" spans="1:21" ht="18" customHeight="1" x14ac:dyDescent="0.35">
      <c r="A34" s="75"/>
      <c r="B34" s="110" t="s">
        <v>37</v>
      </c>
      <c r="C34" s="180" t="str">
        <f>IFERROR(('Inputs &amp; Values'!$C$17*1000)*'Inputs &amp; Values'!C57/52/'Inputs &amp; Values'!$C$6,"")</f>
        <v/>
      </c>
      <c r="D34" s="185" t="s">
        <v>24</v>
      </c>
      <c r="E34" s="79" t="s">
        <v>263</v>
      </c>
      <c r="F34" s="75"/>
      <c r="G34" s="184"/>
    </row>
    <row r="35" spans="1:21" x14ac:dyDescent="0.35">
      <c r="A35" s="75"/>
      <c r="B35" s="75"/>
      <c r="C35" s="75"/>
      <c r="D35" s="75"/>
      <c r="E35" s="75"/>
      <c r="F35" s="75"/>
    </row>
    <row r="36" spans="1:21" s="155" customFormat="1" ht="18" customHeight="1" x14ac:dyDescent="0.35">
      <c r="A36" s="75"/>
      <c r="B36" s="323" t="s">
        <v>305</v>
      </c>
      <c r="C36" s="165"/>
      <c r="D36" s="166"/>
      <c r="E36" s="167"/>
      <c r="F36" s="75"/>
      <c r="K36" s="156"/>
      <c r="L36" s="157"/>
      <c r="M36" s="75"/>
      <c r="N36" s="75"/>
      <c r="O36" s="75"/>
      <c r="P36" s="75"/>
      <c r="Q36" s="75"/>
      <c r="R36" s="75"/>
      <c r="S36" s="75"/>
      <c r="T36" s="75"/>
      <c r="U36" s="75"/>
    </row>
    <row r="37" spans="1:21" ht="18" customHeight="1" x14ac:dyDescent="0.35">
      <c r="A37" s="75"/>
      <c r="B37" s="186" t="s">
        <v>215</v>
      </c>
      <c r="C37" s="187">
        <f>C33*'Inputs &amp; Values'!C60</f>
        <v>0</v>
      </c>
      <c r="D37" s="171" t="s">
        <v>24</v>
      </c>
      <c r="E37" s="79" t="s">
        <v>263</v>
      </c>
      <c r="F37" s="75"/>
    </row>
    <row r="38" spans="1:21" ht="18" customHeight="1" x14ac:dyDescent="0.35">
      <c r="A38" s="75"/>
      <c r="B38" s="186" t="s">
        <v>37</v>
      </c>
      <c r="C38" s="187" t="str">
        <f>IFERROR(C34*'Inputs &amp; Values'!C61,"")</f>
        <v/>
      </c>
      <c r="D38" s="171" t="s">
        <v>24</v>
      </c>
      <c r="E38" s="79" t="s">
        <v>263</v>
      </c>
      <c r="F38" s="75"/>
    </row>
    <row r="39" spans="1:21" s="155" customFormat="1" ht="18" customHeight="1" x14ac:dyDescent="0.35">
      <c r="A39" s="75"/>
      <c r="B39" s="82" t="s">
        <v>216</v>
      </c>
      <c r="C39" s="187">
        <f>'Inputs &amp; Values'!C62</f>
        <v>0.5</v>
      </c>
      <c r="D39" s="171" t="s">
        <v>24</v>
      </c>
      <c r="E39" s="79" t="s">
        <v>286</v>
      </c>
      <c r="F39" s="75"/>
      <c r="K39" s="156"/>
      <c r="L39" s="157"/>
      <c r="M39" s="75"/>
      <c r="N39" s="75"/>
      <c r="O39" s="75"/>
      <c r="P39" s="75"/>
      <c r="Q39" s="75"/>
      <c r="R39" s="75"/>
      <c r="S39" s="75"/>
      <c r="T39" s="75"/>
      <c r="U39" s="75"/>
    </row>
    <row r="40" spans="1:21" s="155" customFormat="1" ht="18" customHeight="1" x14ac:dyDescent="0.35">
      <c r="A40" s="75"/>
      <c r="B40" s="221" t="s">
        <v>0</v>
      </c>
      <c r="C40" s="222">
        <f>SUM(C37:C39)</f>
        <v>0.5</v>
      </c>
      <c r="D40" s="223" t="s">
        <v>24</v>
      </c>
      <c r="E40" s="80"/>
      <c r="F40" s="75"/>
      <c r="K40" s="156"/>
      <c r="L40" s="157"/>
      <c r="M40" s="75"/>
      <c r="N40" s="75"/>
      <c r="O40" s="75"/>
      <c r="P40" s="75"/>
      <c r="Q40" s="75"/>
      <c r="R40" s="75"/>
      <c r="S40" s="75"/>
      <c r="T40" s="75"/>
      <c r="U40" s="75"/>
    </row>
    <row r="41" spans="1:21" s="155" customFormat="1" x14ac:dyDescent="0.35">
      <c r="A41" s="75"/>
      <c r="B41" s="75"/>
      <c r="C41" s="75"/>
      <c r="D41" s="75"/>
      <c r="E41" s="75"/>
      <c r="F41" s="75"/>
      <c r="K41" s="156"/>
      <c r="L41" s="157"/>
      <c r="M41" s="75"/>
      <c r="N41" s="75"/>
      <c r="O41" s="75"/>
      <c r="P41" s="75"/>
      <c r="Q41" s="75"/>
      <c r="R41" s="75"/>
      <c r="S41" s="75"/>
      <c r="T41" s="75"/>
      <c r="U41" s="75"/>
    </row>
    <row r="42" spans="1:21" s="155" customFormat="1" x14ac:dyDescent="0.35">
      <c r="A42" s="75"/>
      <c r="B42" s="75"/>
      <c r="C42" s="75"/>
      <c r="D42" s="75"/>
      <c r="E42" s="75"/>
      <c r="F42" s="75"/>
      <c r="K42" s="156"/>
      <c r="L42" s="157"/>
      <c r="M42" s="75"/>
      <c r="N42" s="75"/>
      <c r="O42" s="75"/>
      <c r="P42" s="75"/>
      <c r="Q42" s="75"/>
      <c r="R42" s="75"/>
      <c r="S42" s="75"/>
      <c r="T42" s="75"/>
      <c r="U42" s="75"/>
    </row>
    <row r="43" spans="1:21" s="155" customFormat="1" ht="26" customHeight="1" x14ac:dyDescent="0.35">
      <c r="A43" s="158"/>
      <c r="B43" s="259" t="s">
        <v>167</v>
      </c>
      <c r="C43" s="260" t="s">
        <v>68</v>
      </c>
      <c r="D43" s="260" t="s">
        <v>1</v>
      </c>
      <c r="E43" s="260" t="s">
        <v>18</v>
      </c>
      <c r="F43" s="158"/>
      <c r="K43" s="156"/>
      <c r="L43" s="157"/>
      <c r="M43" s="75"/>
      <c r="N43" s="75"/>
      <c r="O43" s="75"/>
      <c r="P43" s="75"/>
      <c r="Q43" s="75"/>
      <c r="R43" s="75"/>
      <c r="S43" s="75"/>
      <c r="T43" s="75"/>
      <c r="U43" s="75"/>
    </row>
    <row r="44" spans="1:21" s="155" customFormat="1" x14ac:dyDescent="0.35">
      <c r="A44" s="75"/>
      <c r="B44" s="75"/>
      <c r="C44" s="75"/>
      <c r="D44" s="75"/>
      <c r="E44" s="75"/>
      <c r="F44" s="75"/>
      <c r="K44" s="156"/>
      <c r="L44" s="157"/>
      <c r="M44" s="75"/>
      <c r="N44" s="75"/>
      <c r="O44" s="75"/>
      <c r="P44" s="75"/>
      <c r="Q44" s="75"/>
      <c r="R44" s="75"/>
      <c r="S44" s="75"/>
      <c r="T44" s="75"/>
      <c r="U44" s="75"/>
    </row>
    <row r="45" spans="1:21" s="155" customFormat="1" ht="19" customHeight="1" x14ac:dyDescent="0.35">
      <c r="A45" s="75"/>
      <c r="B45" s="189" t="s">
        <v>71</v>
      </c>
      <c r="C45" s="190"/>
      <c r="D45" s="190"/>
      <c r="E45" s="190"/>
      <c r="F45" s="75"/>
      <c r="K45" s="156"/>
      <c r="L45" s="157"/>
      <c r="M45" s="75"/>
      <c r="N45" s="75"/>
      <c r="O45" s="75"/>
      <c r="P45" s="75"/>
      <c r="Q45" s="75"/>
      <c r="R45" s="75"/>
      <c r="S45" s="75"/>
      <c r="T45" s="75"/>
      <c r="U45" s="75"/>
    </row>
    <row r="46" spans="1:21" s="155" customFormat="1" ht="18" customHeight="1" x14ac:dyDescent="0.35">
      <c r="A46" s="75"/>
      <c r="B46" s="13" t="s">
        <v>65</v>
      </c>
      <c r="C46" s="170">
        <f>C37*$C$10*52/1000</f>
        <v>0</v>
      </c>
      <c r="D46" s="181" t="s">
        <v>69</v>
      </c>
      <c r="E46" s="79" t="s">
        <v>263</v>
      </c>
      <c r="F46" s="75"/>
      <c r="K46" s="156"/>
      <c r="L46" s="157"/>
      <c r="M46" s="75"/>
      <c r="N46" s="75"/>
      <c r="O46" s="75"/>
      <c r="P46" s="75"/>
      <c r="Q46" s="75"/>
      <c r="R46" s="75"/>
      <c r="S46" s="75"/>
      <c r="T46" s="75"/>
      <c r="U46" s="75"/>
    </row>
    <row r="47" spans="1:21" s="155" customFormat="1" ht="18" customHeight="1" x14ac:dyDescent="0.35">
      <c r="A47" s="75"/>
      <c r="B47" s="13" t="s">
        <v>66</v>
      </c>
      <c r="C47" s="170" t="str">
        <f>IFERROR(C38*$C$10*52/1000,"")</f>
        <v/>
      </c>
      <c r="D47" s="181" t="s">
        <v>69</v>
      </c>
      <c r="E47" s="79" t="s">
        <v>263</v>
      </c>
      <c r="F47" s="75"/>
      <c r="K47" s="156"/>
      <c r="L47" s="157"/>
      <c r="M47" s="75"/>
      <c r="N47" s="75"/>
      <c r="O47" s="75"/>
      <c r="P47" s="75"/>
      <c r="Q47" s="75"/>
      <c r="R47" s="75"/>
      <c r="S47" s="75"/>
      <c r="T47" s="75"/>
      <c r="U47" s="75"/>
    </row>
    <row r="48" spans="1:21" s="155" customFormat="1" ht="18" customHeight="1" x14ac:dyDescent="0.35">
      <c r="A48" s="75"/>
      <c r="B48" s="13" t="s">
        <v>67</v>
      </c>
      <c r="C48" s="170">
        <f>C39*$C$10*52/1000</f>
        <v>0</v>
      </c>
      <c r="D48" s="181" t="s">
        <v>69</v>
      </c>
      <c r="E48" s="79" t="s">
        <v>263</v>
      </c>
      <c r="F48" s="75"/>
      <c r="K48" s="156"/>
      <c r="L48" s="157"/>
      <c r="M48" s="75"/>
      <c r="N48" s="75"/>
      <c r="O48" s="75"/>
      <c r="P48" s="75"/>
      <c r="Q48" s="75"/>
      <c r="R48" s="75"/>
      <c r="S48" s="75"/>
      <c r="T48" s="75"/>
      <c r="U48" s="75"/>
    </row>
    <row r="49" spans="1:21" s="155" customFormat="1" ht="18" customHeight="1" x14ac:dyDescent="0.35">
      <c r="A49" s="75"/>
      <c r="B49" s="32" t="s">
        <v>0</v>
      </c>
      <c r="C49" s="224">
        <f>SUM(C46:C48)</f>
        <v>0</v>
      </c>
      <c r="D49" s="225"/>
      <c r="E49" s="80"/>
      <c r="F49" s="75"/>
      <c r="K49" s="156"/>
      <c r="L49" s="157"/>
      <c r="M49" s="75"/>
      <c r="N49" s="75"/>
      <c r="O49" s="75"/>
      <c r="P49" s="75"/>
      <c r="Q49" s="75"/>
      <c r="R49" s="75"/>
      <c r="S49" s="75"/>
      <c r="T49" s="75"/>
      <c r="U49" s="75"/>
    </row>
    <row r="50" spans="1:21" s="155" customFormat="1" x14ac:dyDescent="0.35">
      <c r="A50" s="75"/>
      <c r="B50" s="75"/>
      <c r="C50" s="75"/>
      <c r="D50" s="75"/>
      <c r="E50" s="75"/>
      <c r="F50" s="75"/>
      <c r="K50" s="156"/>
      <c r="L50" s="157"/>
      <c r="M50" s="75"/>
      <c r="N50" s="75"/>
      <c r="O50" s="75"/>
      <c r="P50" s="75"/>
      <c r="Q50" s="75"/>
      <c r="R50" s="75"/>
      <c r="S50" s="75"/>
      <c r="T50" s="75"/>
      <c r="U50" s="75"/>
    </row>
    <row r="51" spans="1:21" s="155" customFormat="1" ht="19" customHeight="1" x14ac:dyDescent="0.35">
      <c r="A51" s="75"/>
      <c r="B51" s="189" t="s">
        <v>223</v>
      </c>
      <c r="C51" s="190"/>
      <c r="D51" s="190"/>
      <c r="E51" s="190"/>
      <c r="F51" s="75"/>
      <c r="G51" s="155" t="s">
        <v>3</v>
      </c>
      <c r="H51" s="155" t="s">
        <v>141</v>
      </c>
      <c r="K51" s="156"/>
      <c r="L51" s="157"/>
      <c r="M51" s="75"/>
      <c r="N51" s="75"/>
      <c r="O51" s="75"/>
      <c r="P51" s="75"/>
      <c r="Q51" s="75"/>
      <c r="R51" s="75"/>
      <c r="S51" s="75"/>
      <c r="T51" s="75"/>
      <c r="U51" s="75"/>
    </row>
    <row r="52" spans="1:21" s="155" customFormat="1" ht="18" customHeight="1" x14ac:dyDescent="0.35">
      <c r="A52" s="75"/>
      <c r="B52" s="321" t="s">
        <v>288</v>
      </c>
      <c r="C52" s="192">
        <f>SUM(C53:C55)</f>
        <v>0</v>
      </c>
      <c r="D52" s="191" t="s">
        <v>24</v>
      </c>
      <c r="E52" s="78"/>
      <c r="F52" s="75"/>
      <c r="G52" s="193" t="e">
        <f>SUM(G53:G55)</f>
        <v>#VALUE!</v>
      </c>
      <c r="H52" s="194" t="e">
        <f>SUM(H53:H55)</f>
        <v>#VALUE!</v>
      </c>
      <c r="K52" s="156"/>
      <c r="L52" s="157"/>
      <c r="M52" s="75"/>
      <c r="N52" s="75"/>
      <c r="O52" s="75"/>
      <c r="P52" s="75"/>
      <c r="Q52" s="75"/>
      <c r="R52" s="75"/>
      <c r="S52" s="75"/>
      <c r="T52" s="75"/>
      <c r="U52" s="75"/>
    </row>
    <row r="53" spans="1:21" s="155" customFormat="1" ht="18" customHeight="1" x14ac:dyDescent="0.35">
      <c r="A53" s="75"/>
      <c r="B53" s="13" t="s">
        <v>280</v>
      </c>
      <c r="C53" s="180" t="str">
        <f>IFERROR('Modelling Summary'!D5-('Modelling Summary'!D5*'Inputs &amp; Values'!C63)-SUM(C37:C38),"")</f>
        <v/>
      </c>
      <c r="D53" s="181" t="s">
        <v>24</v>
      </c>
      <c r="E53" s="79" t="s">
        <v>221</v>
      </c>
      <c r="F53" s="75"/>
      <c r="G53" s="195" t="e">
        <f>C53*52/1000</f>
        <v>#VALUE!</v>
      </c>
      <c r="H53" s="196" t="e">
        <f>G53*SUM(#REF!)</f>
        <v>#VALUE!</v>
      </c>
      <c r="K53" s="156"/>
      <c r="L53" s="157"/>
      <c r="M53" s="75"/>
      <c r="N53" s="75"/>
      <c r="O53" s="75"/>
      <c r="P53" s="75"/>
      <c r="Q53" s="75"/>
      <c r="R53" s="75"/>
      <c r="S53" s="75"/>
      <c r="T53" s="75"/>
      <c r="U53" s="75"/>
    </row>
    <row r="54" spans="1:21" s="155" customFormat="1" ht="18" customHeight="1" x14ac:dyDescent="0.35">
      <c r="A54" s="75"/>
      <c r="B54" s="13" t="s">
        <v>279</v>
      </c>
      <c r="C54" s="180" t="str">
        <f>IFERROR('Modelling Summary'!D6,"")</f>
        <v/>
      </c>
      <c r="D54" s="181" t="s">
        <v>24</v>
      </c>
      <c r="E54" s="79" t="s">
        <v>289</v>
      </c>
      <c r="F54" s="75"/>
      <c r="G54" s="195" t="e">
        <f>C54*52/1000</f>
        <v>#VALUE!</v>
      </c>
      <c r="H54" s="196" t="e">
        <f>G54*#REF!</f>
        <v>#VALUE!</v>
      </c>
      <c r="K54" s="156"/>
      <c r="L54" s="157"/>
      <c r="M54" s="75"/>
      <c r="N54" s="75"/>
      <c r="O54" s="75"/>
      <c r="P54" s="75"/>
      <c r="Q54" s="75"/>
      <c r="R54" s="75"/>
      <c r="S54" s="75"/>
      <c r="T54" s="75"/>
      <c r="U54" s="75"/>
    </row>
    <row r="55" spans="1:21" s="155" customFormat="1" ht="18" customHeight="1" x14ac:dyDescent="0.35">
      <c r="A55" s="75"/>
      <c r="B55" s="13" t="s">
        <v>281</v>
      </c>
      <c r="C55" s="180" t="str">
        <f>IFERROR('Modelling Summary'!D7+C40,"")</f>
        <v/>
      </c>
      <c r="D55" s="181" t="s">
        <v>24</v>
      </c>
      <c r="E55" s="79" t="s">
        <v>263</v>
      </c>
      <c r="F55" s="75"/>
      <c r="G55" s="195" t="e">
        <f>C55*52/1000</f>
        <v>#VALUE!</v>
      </c>
      <c r="H55" s="196" t="e">
        <f>G55*#REF!</f>
        <v>#VALUE!</v>
      </c>
      <c r="K55" s="156"/>
      <c r="L55" s="157"/>
      <c r="M55" s="75"/>
      <c r="N55" s="75"/>
      <c r="O55" s="75"/>
      <c r="P55" s="75"/>
      <c r="Q55" s="75"/>
      <c r="R55" s="75"/>
      <c r="S55" s="75"/>
      <c r="T55" s="75"/>
      <c r="U55" s="75"/>
    </row>
    <row r="56" spans="1:21" s="156" customFormat="1" ht="18" customHeight="1" x14ac:dyDescent="0.35">
      <c r="A56" s="75"/>
      <c r="B56" s="321" t="s">
        <v>287</v>
      </c>
      <c r="C56" s="192">
        <f>SUM(C57:C59)</f>
        <v>0</v>
      </c>
      <c r="D56" s="191" t="s">
        <v>24</v>
      </c>
      <c r="E56" s="78"/>
      <c r="F56" s="75"/>
      <c r="G56" s="193" t="e">
        <f>SUM(G57:G59)</f>
        <v>#VALUE!</v>
      </c>
      <c r="H56" s="194" t="e">
        <f>SUM(H57:H59)</f>
        <v>#VALUE!</v>
      </c>
      <c r="I56" s="155"/>
      <c r="J56" s="155"/>
      <c r="L56" s="157"/>
      <c r="M56" s="75"/>
      <c r="N56" s="75"/>
      <c r="O56" s="75"/>
      <c r="P56" s="75"/>
      <c r="Q56" s="75"/>
      <c r="R56" s="75"/>
      <c r="S56" s="75"/>
      <c r="T56" s="75"/>
      <c r="U56" s="75"/>
    </row>
    <row r="57" spans="1:21" s="156" customFormat="1" ht="18" customHeight="1" x14ac:dyDescent="0.35">
      <c r="A57" s="197"/>
      <c r="B57" s="13" t="s">
        <v>282</v>
      </c>
      <c r="C57" s="180" t="str">
        <f>IFERROR('Modelling Summary'!D5+('Modelling Summary'!D5*'Inputs &amp; Values'!C64),"")</f>
        <v/>
      </c>
      <c r="D57" s="181" t="s">
        <v>24</v>
      </c>
      <c r="E57" s="79" t="s">
        <v>290</v>
      </c>
      <c r="F57" s="197"/>
      <c r="G57" s="195" t="e">
        <f>C57*52/1000</f>
        <v>#VALUE!</v>
      </c>
      <c r="H57" s="196" t="e">
        <f>G57*SUM(#REF!)</f>
        <v>#VALUE!</v>
      </c>
      <c r="I57" s="155"/>
      <c r="J57" s="155"/>
      <c r="L57" s="157"/>
      <c r="M57" s="75"/>
      <c r="N57" s="75"/>
      <c r="O57" s="75"/>
      <c r="P57" s="75"/>
      <c r="Q57" s="75"/>
      <c r="R57" s="75"/>
      <c r="S57" s="75"/>
      <c r="T57" s="75"/>
      <c r="U57" s="75"/>
    </row>
    <row r="58" spans="1:21" s="156" customFormat="1" ht="18" customHeight="1" x14ac:dyDescent="0.35">
      <c r="A58" s="75"/>
      <c r="B58" s="13" t="s">
        <v>279</v>
      </c>
      <c r="C58" s="180" t="str">
        <f>IFERROR('Modelling Summary'!D6,"")</f>
        <v/>
      </c>
      <c r="D58" s="181" t="s">
        <v>24</v>
      </c>
      <c r="E58" s="79" t="s">
        <v>263</v>
      </c>
      <c r="F58" s="75"/>
      <c r="G58" s="195" t="e">
        <f>C58*52/1000</f>
        <v>#VALUE!</v>
      </c>
      <c r="H58" s="196" t="e">
        <f>G58*#REF!</f>
        <v>#VALUE!</v>
      </c>
      <c r="I58" s="155"/>
      <c r="J58" s="155"/>
      <c r="L58" s="157"/>
      <c r="M58" s="75"/>
      <c r="N58" s="75"/>
      <c r="O58" s="75"/>
      <c r="P58" s="75"/>
      <c r="Q58" s="75"/>
      <c r="R58" s="75"/>
      <c r="S58" s="75"/>
      <c r="T58" s="75"/>
      <c r="U58" s="75"/>
    </row>
    <row r="59" spans="1:21" s="156" customFormat="1" ht="18" customHeight="1" x14ac:dyDescent="0.35">
      <c r="A59" s="75"/>
      <c r="B59" s="13" t="s">
        <v>283</v>
      </c>
      <c r="C59" s="180" t="str">
        <f>IFERROR('Modelling Summary'!D7,"")</f>
        <v/>
      </c>
      <c r="D59" s="181" t="s">
        <v>24</v>
      </c>
      <c r="E59" s="79" t="s">
        <v>263</v>
      </c>
      <c r="F59" s="75"/>
      <c r="G59" s="195" t="e">
        <f>C59*52/1000</f>
        <v>#VALUE!</v>
      </c>
      <c r="H59" s="196" t="e">
        <f>G59*#REF!</f>
        <v>#VALUE!</v>
      </c>
      <c r="I59" s="155"/>
      <c r="J59" s="155"/>
      <c r="L59" s="157"/>
      <c r="M59" s="75"/>
      <c r="N59" s="75"/>
      <c r="O59" s="75"/>
      <c r="P59" s="75"/>
      <c r="Q59" s="75"/>
      <c r="R59" s="75"/>
      <c r="S59" s="75"/>
      <c r="T59" s="75"/>
      <c r="U59" s="75"/>
    </row>
    <row r="60" spans="1:21" s="156" customFormat="1" ht="11" customHeight="1" x14ac:dyDescent="0.35">
      <c r="A60" s="75"/>
      <c r="B60" s="75"/>
      <c r="C60" s="75"/>
      <c r="D60" s="75"/>
      <c r="E60" s="75"/>
      <c r="F60" s="75"/>
      <c r="G60" s="155"/>
      <c r="H60" s="155"/>
      <c r="I60" s="155"/>
      <c r="J60" s="155"/>
      <c r="L60" s="157"/>
      <c r="M60" s="75"/>
      <c r="N60" s="75"/>
      <c r="O60" s="75"/>
      <c r="P60" s="75"/>
      <c r="Q60" s="75"/>
      <c r="R60" s="75"/>
      <c r="S60" s="75"/>
      <c r="T60" s="75"/>
      <c r="U60" s="75"/>
    </row>
    <row r="61" spans="1:21" s="155" customFormat="1" ht="19" customHeight="1" x14ac:dyDescent="0.35">
      <c r="A61" s="75"/>
      <c r="B61" s="189" t="s">
        <v>222</v>
      </c>
      <c r="C61" s="190"/>
      <c r="D61" s="190"/>
      <c r="E61" s="190"/>
      <c r="F61" s="75"/>
      <c r="G61" s="155" t="s">
        <v>132</v>
      </c>
      <c r="I61" s="155" t="s">
        <v>123</v>
      </c>
      <c r="K61" s="156"/>
      <c r="L61" s="157"/>
      <c r="M61" s="75"/>
      <c r="N61" s="75"/>
      <c r="O61" s="75"/>
      <c r="P61" s="75"/>
      <c r="Q61" s="75"/>
      <c r="R61" s="75"/>
      <c r="S61" s="75"/>
      <c r="T61" s="75"/>
      <c r="U61" s="75"/>
    </row>
    <row r="62" spans="1:21" s="156" customFormat="1" ht="18" customHeight="1" x14ac:dyDescent="0.35">
      <c r="A62" s="75"/>
      <c r="B62" s="321" t="s">
        <v>288</v>
      </c>
      <c r="C62" s="168">
        <f>SUM(C63:C65)</f>
        <v>0</v>
      </c>
      <c r="D62" s="191" t="s">
        <v>3</v>
      </c>
      <c r="E62" s="78"/>
      <c r="F62" s="75"/>
      <c r="G62" s="198" t="e">
        <f>SUM(G63:G65)</f>
        <v>#VALUE!</v>
      </c>
      <c r="H62" s="155"/>
      <c r="I62" s="196" t="e">
        <f>G62/C8</f>
        <v>#VALUE!</v>
      </c>
      <c r="J62" s="155" t="e">
        <f>I62=#REF!</f>
        <v>#VALUE!</v>
      </c>
      <c r="L62" s="157"/>
      <c r="M62" s="75"/>
      <c r="N62" s="75"/>
      <c r="O62" s="75"/>
      <c r="P62" s="75"/>
      <c r="Q62" s="75"/>
      <c r="R62" s="75"/>
      <c r="S62" s="75"/>
      <c r="T62" s="75"/>
      <c r="U62" s="75"/>
    </row>
    <row r="63" spans="1:21" s="156" customFormat="1" ht="18" customHeight="1" x14ac:dyDescent="0.35">
      <c r="A63" s="158"/>
      <c r="B63" s="322" t="s">
        <v>280</v>
      </c>
      <c r="C63" s="170" t="str">
        <f>IFERROR(C53*C8*52/1000,"")</f>
        <v/>
      </c>
      <c r="D63" s="181" t="s">
        <v>3</v>
      </c>
      <c r="E63" s="79" t="s">
        <v>263</v>
      </c>
      <c r="F63" s="158"/>
      <c r="G63" s="196" t="e">
        <f>C63*(SUM(#REF!))</f>
        <v>#VALUE!</v>
      </c>
      <c r="H63" s="155"/>
      <c r="I63" s="155"/>
      <c r="J63" s="155"/>
      <c r="L63" s="157"/>
      <c r="M63" s="75"/>
      <c r="N63" s="75"/>
      <c r="O63" s="75"/>
      <c r="P63" s="75"/>
      <c r="Q63" s="75"/>
      <c r="R63" s="75"/>
      <c r="S63" s="75"/>
      <c r="T63" s="75"/>
      <c r="U63" s="75"/>
    </row>
    <row r="64" spans="1:21" s="156" customFormat="1" ht="18" customHeight="1" x14ac:dyDescent="0.35">
      <c r="A64" s="158"/>
      <c r="B64" s="322" t="s">
        <v>279</v>
      </c>
      <c r="C64" s="170" t="str">
        <f>IFERROR(C54*C9*52/1000,"")</f>
        <v/>
      </c>
      <c r="D64" s="181" t="s">
        <v>3</v>
      </c>
      <c r="E64" s="79" t="s">
        <v>263</v>
      </c>
      <c r="F64" s="158"/>
      <c r="G64" s="196" t="e">
        <f>C64*#REF!</f>
        <v>#VALUE!</v>
      </c>
      <c r="H64" s="155"/>
      <c r="I64" s="155"/>
      <c r="J64" s="155"/>
      <c r="L64" s="157"/>
      <c r="M64" s="75"/>
      <c r="N64" s="75"/>
      <c r="O64" s="75"/>
      <c r="P64" s="75"/>
      <c r="Q64" s="75"/>
      <c r="R64" s="75"/>
      <c r="S64" s="75"/>
      <c r="T64" s="75"/>
      <c r="U64" s="75"/>
    </row>
    <row r="65" spans="1:21" s="156" customFormat="1" ht="18" customHeight="1" x14ac:dyDescent="0.35">
      <c r="A65" s="158"/>
      <c r="B65" s="322" t="s">
        <v>281</v>
      </c>
      <c r="C65" s="170" t="str">
        <f>IFERROR(C55*C10*52/1000,"")</f>
        <v/>
      </c>
      <c r="D65" s="181" t="s">
        <v>3</v>
      </c>
      <c r="E65" s="79" t="s">
        <v>263</v>
      </c>
      <c r="F65" s="158"/>
      <c r="G65" s="196" t="e">
        <f>C65*#REF!</f>
        <v>#VALUE!</v>
      </c>
      <c r="H65" s="155"/>
      <c r="I65" s="155"/>
      <c r="J65" s="155"/>
      <c r="L65" s="157"/>
      <c r="M65" s="75"/>
      <c r="N65" s="75"/>
      <c r="O65" s="75"/>
      <c r="P65" s="75"/>
      <c r="Q65" s="75"/>
      <c r="R65" s="75"/>
      <c r="S65" s="75"/>
      <c r="T65" s="75"/>
      <c r="U65" s="75"/>
    </row>
    <row r="66" spans="1:21" s="156" customFormat="1" ht="18" customHeight="1" x14ac:dyDescent="0.35">
      <c r="A66" s="75"/>
      <c r="B66" s="321" t="s">
        <v>287</v>
      </c>
      <c r="C66" s="168">
        <f>SUM(C67:C69)</f>
        <v>0</v>
      </c>
      <c r="D66" s="191" t="s">
        <v>3</v>
      </c>
      <c r="E66" s="78"/>
      <c r="F66" s="75"/>
      <c r="G66" s="198" t="e">
        <f>SUM(G67:G69)</f>
        <v>#VALUE!</v>
      </c>
      <c r="H66" s="155"/>
      <c r="I66" s="196" t="e">
        <f>G66/C12</f>
        <v>#VALUE!</v>
      </c>
      <c r="J66" s="155" t="e">
        <f>I66=#REF!</f>
        <v>#VALUE!</v>
      </c>
      <c r="L66" s="157"/>
      <c r="M66" s="75"/>
      <c r="N66" s="75"/>
      <c r="O66" s="75"/>
      <c r="P66" s="75"/>
      <c r="Q66" s="75"/>
      <c r="R66" s="75"/>
      <c r="S66" s="75"/>
      <c r="T66" s="75"/>
      <c r="U66" s="75"/>
    </row>
    <row r="67" spans="1:21" s="156" customFormat="1" ht="18" customHeight="1" x14ac:dyDescent="0.35">
      <c r="A67" s="197"/>
      <c r="B67" s="322" t="s">
        <v>282</v>
      </c>
      <c r="C67" s="170" t="str">
        <f>IFERROR(C57*C12*52/1000,"")</f>
        <v/>
      </c>
      <c r="D67" s="181" t="s">
        <v>3</v>
      </c>
      <c r="E67" s="79" t="s">
        <v>263</v>
      </c>
      <c r="F67" s="197"/>
      <c r="G67" s="196" t="e">
        <f>C67*SUM(#REF!)</f>
        <v>#VALUE!</v>
      </c>
      <c r="H67" s="155"/>
      <c r="I67" s="155"/>
      <c r="J67" s="155"/>
      <c r="L67" s="157"/>
      <c r="M67" s="75"/>
      <c r="N67" s="75"/>
      <c r="O67" s="75"/>
      <c r="P67" s="75"/>
      <c r="Q67" s="75"/>
      <c r="R67" s="75"/>
      <c r="S67" s="75"/>
      <c r="T67" s="75"/>
      <c r="U67" s="75"/>
    </row>
    <row r="68" spans="1:21" s="156" customFormat="1" ht="18" customHeight="1" x14ac:dyDescent="0.35">
      <c r="A68" s="75"/>
      <c r="B68" s="13" t="s">
        <v>279</v>
      </c>
      <c r="C68" s="170" t="str">
        <f>IFERROR(C58*C13*52/1000,"")</f>
        <v/>
      </c>
      <c r="D68" s="181" t="s">
        <v>3</v>
      </c>
      <c r="E68" s="79" t="s">
        <v>263</v>
      </c>
      <c r="F68" s="75"/>
      <c r="G68" s="196" t="e">
        <f>C68*#REF!</f>
        <v>#VALUE!</v>
      </c>
      <c r="H68" s="155"/>
      <c r="I68" s="155"/>
      <c r="J68" s="155"/>
      <c r="L68" s="157"/>
      <c r="M68" s="75"/>
      <c r="N68" s="75"/>
      <c r="O68" s="75"/>
      <c r="P68" s="75"/>
      <c r="Q68" s="75"/>
      <c r="R68" s="75"/>
      <c r="S68" s="75"/>
      <c r="T68" s="75"/>
      <c r="U68" s="75"/>
    </row>
    <row r="69" spans="1:21" s="156" customFormat="1" ht="18" customHeight="1" x14ac:dyDescent="0.35">
      <c r="A69" s="75"/>
      <c r="B69" s="13" t="s">
        <v>283</v>
      </c>
      <c r="C69" s="170" t="str">
        <f>IFERROR(C59*C14*52/1000,"")</f>
        <v/>
      </c>
      <c r="D69" s="181" t="s">
        <v>3</v>
      </c>
      <c r="E69" s="79" t="s">
        <v>263</v>
      </c>
      <c r="F69" s="75"/>
      <c r="G69" s="196" t="e">
        <f>C69*#REF!</f>
        <v>#VALUE!</v>
      </c>
      <c r="H69" s="155"/>
      <c r="I69" s="155"/>
      <c r="J69" s="155"/>
      <c r="L69" s="157"/>
      <c r="M69" s="75"/>
      <c r="N69" s="75"/>
      <c r="O69" s="75"/>
      <c r="P69" s="75"/>
      <c r="Q69" s="75"/>
      <c r="R69" s="75"/>
      <c r="S69" s="75"/>
      <c r="T69" s="75"/>
      <c r="U69" s="75"/>
    </row>
    <row r="70" spans="1:21" s="156" customFormat="1" ht="18" customHeight="1" x14ac:dyDescent="0.35">
      <c r="A70" s="158"/>
      <c r="B70" s="94" t="s">
        <v>0</v>
      </c>
      <c r="C70" s="178">
        <f>SUM(C62,C66)</f>
        <v>0</v>
      </c>
      <c r="D70" s="179" t="s">
        <v>3</v>
      </c>
      <c r="E70" s="98"/>
      <c r="F70" s="158"/>
      <c r="G70" s="196" t="e">
        <f>C70=#REF!</f>
        <v>#REF!</v>
      </c>
      <c r="H70" s="155"/>
      <c r="I70" s="155"/>
      <c r="J70" s="155"/>
      <c r="L70" s="157"/>
      <c r="M70" s="75"/>
      <c r="N70" s="75"/>
      <c r="O70" s="75"/>
      <c r="P70" s="75"/>
      <c r="Q70" s="75"/>
      <c r="R70" s="75"/>
      <c r="S70" s="75"/>
      <c r="T70" s="75"/>
      <c r="U70" s="75"/>
    </row>
    <row r="71" spans="1:21" s="156" customFormat="1" x14ac:dyDescent="0.35">
      <c r="A71" s="75"/>
      <c r="B71" s="75"/>
      <c r="C71" s="199"/>
      <c r="D71" s="75"/>
      <c r="E71" s="75"/>
      <c r="F71" s="75"/>
      <c r="G71" s="155"/>
      <c r="H71" s="155"/>
      <c r="I71" s="155"/>
      <c r="J71" s="155"/>
      <c r="L71" s="157"/>
      <c r="M71" s="75"/>
      <c r="N71" s="75"/>
      <c r="O71" s="75"/>
      <c r="P71" s="75"/>
      <c r="Q71" s="75"/>
      <c r="R71" s="75"/>
      <c r="S71" s="75"/>
      <c r="T71" s="75"/>
      <c r="U71" s="75"/>
    </row>
    <row r="72" spans="1:21" s="155" customFormat="1" ht="19" customHeight="1" x14ac:dyDescent="0.35">
      <c r="A72" s="75"/>
      <c r="B72" s="189" t="s">
        <v>234</v>
      </c>
      <c r="C72" s="190"/>
      <c r="D72" s="190"/>
      <c r="E72" s="190"/>
      <c r="F72" s="75"/>
      <c r="K72" s="156"/>
      <c r="L72" s="157"/>
      <c r="M72" s="75"/>
      <c r="N72" s="75"/>
      <c r="O72" s="75"/>
      <c r="P72" s="75"/>
      <c r="Q72" s="75"/>
      <c r="R72" s="75"/>
      <c r="S72" s="75"/>
      <c r="T72" s="75"/>
      <c r="U72" s="75"/>
    </row>
    <row r="73" spans="1:21" s="156" customFormat="1" ht="18" customHeight="1" x14ac:dyDescent="0.35">
      <c r="A73" s="200"/>
      <c r="B73" s="249" t="s">
        <v>154</v>
      </c>
      <c r="C73" s="250"/>
      <c r="D73" s="251"/>
      <c r="E73" s="167"/>
      <c r="F73" s="200"/>
      <c r="G73" s="177"/>
      <c r="H73" s="155"/>
      <c r="I73" s="154"/>
      <c r="J73" s="155"/>
      <c r="L73" s="157"/>
      <c r="M73" s="75"/>
      <c r="N73" s="75"/>
      <c r="O73" s="75"/>
      <c r="P73" s="75"/>
      <c r="Q73" s="75"/>
      <c r="R73" s="75"/>
      <c r="S73" s="75"/>
      <c r="T73" s="75"/>
      <c r="U73" s="75"/>
    </row>
    <row r="74" spans="1:21" s="156" customFormat="1" ht="18" customHeight="1" x14ac:dyDescent="0.35">
      <c r="A74" s="200"/>
      <c r="B74" s="321" t="s">
        <v>288</v>
      </c>
      <c r="C74" s="201">
        <f>SUM(C75:C77)</f>
        <v>0</v>
      </c>
      <c r="D74" s="191" t="s">
        <v>17</v>
      </c>
      <c r="E74" s="78"/>
      <c r="F74" s="200"/>
      <c r="G74" s="177"/>
      <c r="H74" s="155"/>
      <c r="I74" s="154"/>
      <c r="J74" s="155"/>
      <c r="L74" s="157"/>
      <c r="M74" s="75"/>
      <c r="N74" s="75"/>
      <c r="O74" s="75"/>
      <c r="P74" s="75"/>
      <c r="Q74" s="75"/>
      <c r="R74" s="75"/>
      <c r="S74" s="75"/>
      <c r="T74" s="75"/>
      <c r="U74" s="75"/>
    </row>
    <row r="75" spans="1:21" s="155" customFormat="1" ht="18" customHeight="1" x14ac:dyDescent="0.35">
      <c r="A75" s="200"/>
      <c r="B75" s="322" t="s">
        <v>280</v>
      </c>
      <c r="C75" s="146">
        <f>C18*'Inputs &amp; Values'!C38</f>
        <v>0</v>
      </c>
      <c r="D75" s="181" t="s">
        <v>17</v>
      </c>
      <c r="E75" s="79" t="s">
        <v>263</v>
      </c>
      <c r="F75" s="200"/>
      <c r="G75" s="202"/>
      <c r="I75" s="154"/>
      <c r="K75" s="156"/>
      <c r="L75" s="157"/>
      <c r="M75" s="75"/>
      <c r="N75" s="75"/>
      <c r="O75" s="75"/>
      <c r="P75" s="75"/>
      <c r="Q75" s="75"/>
      <c r="R75" s="75"/>
      <c r="S75" s="75"/>
      <c r="T75" s="75"/>
      <c r="U75" s="75"/>
    </row>
    <row r="76" spans="1:21" s="155" customFormat="1" ht="18" customHeight="1" x14ac:dyDescent="0.35">
      <c r="A76" s="200"/>
      <c r="B76" s="322" t="s">
        <v>279</v>
      </c>
      <c r="C76" s="146">
        <f>C19*'Inputs &amp; Values'!C39</f>
        <v>0</v>
      </c>
      <c r="D76" s="181" t="s">
        <v>17</v>
      </c>
      <c r="E76" s="79" t="s">
        <v>263</v>
      </c>
      <c r="F76" s="200"/>
      <c r="K76" s="156"/>
      <c r="L76" s="157"/>
      <c r="M76" s="75"/>
      <c r="N76" s="75"/>
      <c r="O76" s="75"/>
      <c r="P76" s="75"/>
      <c r="Q76" s="75"/>
      <c r="R76" s="75"/>
      <c r="S76" s="75"/>
      <c r="T76" s="75"/>
      <c r="U76" s="75"/>
    </row>
    <row r="77" spans="1:21" s="155" customFormat="1" ht="18" customHeight="1" x14ac:dyDescent="0.35">
      <c r="A77" s="200"/>
      <c r="B77" s="322" t="s">
        <v>281</v>
      </c>
      <c r="C77" s="146">
        <f>C20*'Inputs &amp; Values'!C40</f>
        <v>0</v>
      </c>
      <c r="D77" s="181" t="s">
        <v>17</v>
      </c>
      <c r="E77" s="79" t="s">
        <v>263</v>
      </c>
      <c r="F77" s="200"/>
      <c r="K77" s="156"/>
      <c r="L77" s="157"/>
      <c r="M77" s="75"/>
      <c r="N77" s="75"/>
      <c r="O77" s="75"/>
      <c r="P77" s="75"/>
      <c r="Q77" s="75"/>
      <c r="R77" s="75"/>
      <c r="S77" s="75"/>
      <c r="T77" s="75"/>
      <c r="U77" s="75"/>
    </row>
    <row r="78" spans="1:21" s="155" customFormat="1" ht="18" customHeight="1" x14ac:dyDescent="0.35">
      <c r="A78" s="200"/>
      <c r="B78" s="321" t="s">
        <v>287</v>
      </c>
      <c r="C78" s="201">
        <f>SUM(C79:C81)</f>
        <v>0</v>
      </c>
      <c r="D78" s="191" t="s">
        <v>17</v>
      </c>
      <c r="E78" s="78"/>
      <c r="F78" s="200"/>
      <c r="K78" s="156"/>
      <c r="L78" s="157"/>
      <c r="M78" s="75"/>
      <c r="N78" s="75"/>
      <c r="O78" s="75"/>
      <c r="P78" s="75"/>
      <c r="Q78" s="75"/>
      <c r="R78" s="75"/>
      <c r="S78" s="75"/>
      <c r="T78" s="75"/>
      <c r="U78" s="75"/>
    </row>
    <row r="79" spans="1:21" s="155" customFormat="1" ht="18" customHeight="1" x14ac:dyDescent="0.35">
      <c r="A79" s="203"/>
      <c r="B79" s="13" t="s">
        <v>282</v>
      </c>
      <c r="C79" s="146">
        <f>((C23/2)*'Inputs &amp; Values'!C38)+((C23/2)*'Inputs &amp; Values'!C42)</f>
        <v>0</v>
      </c>
      <c r="D79" s="181" t="s">
        <v>17</v>
      </c>
      <c r="E79" s="79" t="s">
        <v>235</v>
      </c>
      <c r="F79" s="203"/>
      <c r="G79" s="203"/>
      <c r="H79" s="204"/>
      <c r="I79" s="196"/>
      <c r="K79" s="156"/>
      <c r="L79" s="157"/>
      <c r="M79" s="75"/>
      <c r="N79" s="75"/>
      <c r="O79" s="75"/>
      <c r="P79" s="75"/>
      <c r="Q79" s="75"/>
      <c r="R79" s="75"/>
      <c r="S79" s="75"/>
      <c r="T79" s="75"/>
      <c r="U79" s="75"/>
    </row>
    <row r="80" spans="1:21" s="155" customFormat="1" ht="18" customHeight="1" x14ac:dyDescent="0.35">
      <c r="A80" s="200"/>
      <c r="B80" s="13" t="s">
        <v>279</v>
      </c>
      <c r="C80" s="146">
        <f>C24*'Inputs &amp; Values'!C43</f>
        <v>0</v>
      </c>
      <c r="D80" s="181" t="s">
        <v>17</v>
      </c>
      <c r="E80" s="79" t="s">
        <v>263</v>
      </c>
      <c r="F80" s="200"/>
      <c r="K80" s="156"/>
      <c r="L80" s="157"/>
      <c r="M80" s="75"/>
      <c r="N80" s="75"/>
      <c r="O80" s="75"/>
      <c r="P80" s="75"/>
      <c r="Q80" s="75"/>
      <c r="R80" s="75"/>
      <c r="S80" s="75"/>
      <c r="T80" s="75"/>
      <c r="U80" s="75"/>
    </row>
    <row r="81" spans="1:21" s="155" customFormat="1" ht="18" customHeight="1" x14ac:dyDescent="0.35">
      <c r="A81" s="200"/>
      <c r="B81" s="13" t="s">
        <v>283</v>
      </c>
      <c r="C81" s="319">
        <f>C25*'Inputs &amp; Values'!C44</f>
        <v>0</v>
      </c>
      <c r="D81" s="181" t="s">
        <v>17</v>
      </c>
      <c r="E81" s="79"/>
      <c r="F81" s="200"/>
      <c r="K81" s="156"/>
      <c r="L81" s="157"/>
      <c r="M81" s="75"/>
      <c r="N81" s="75"/>
      <c r="O81" s="75"/>
      <c r="P81" s="75"/>
      <c r="Q81" s="75"/>
      <c r="R81" s="75"/>
      <c r="S81" s="75"/>
      <c r="T81" s="75"/>
      <c r="U81" s="75"/>
    </row>
    <row r="82" spans="1:21" s="155" customFormat="1" ht="18" customHeight="1" x14ac:dyDescent="0.35">
      <c r="A82" s="158"/>
      <c r="B82" s="94" t="s">
        <v>117</v>
      </c>
      <c r="C82" s="205">
        <f>SUM(C74,C78)</f>
        <v>0</v>
      </c>
      <c r="D82" s="206" t="s">
        <v>17</v>
      </c>
      <c r="E82" s="105"/>
      <c r="F82" s="158"/>
      <c r="G82" s="207"/>
      <c r="H82" s="208"/>
      <c r="K82" s="156"/>
      <c r="L82" s="157"/>
      <c r="M82" s="75"/>
      <c r="N82" s="75"/>
      <c r="O82" s="75"/>
      <c r="P82" s="75"/>
      <c r="Q82" s="75"/>
      <c r="R82" s="75"/>
      <c r="S82" s="75"/>
      <c r="T82" s="75"/>
      <c r="U82" s="75"/>
    </row>
    <row r="83" spans="1:21" s="156" customFormat="1" ht="18" customHeight="1" x14ac:dyDescent="0.35">
      <c r="A83" s="200"/>
      <c r="B83" s="249" t="s">
        <v>116</v>
      </c>
      <c r="C83" s="250"/>
      <c r="D83" s="251"/>
      <c r="E83" s="167"/>
      <c r="F83" s="200"/>
      <c r="G83" s="177"/>
      <c r="H83" s="155"/>
      <c r="I83" s="154"/>
      <c r="J83" s="155"/>
      <c r="L83" s="157"/>
      <c r="M83" s="75"/>
      <c r="N83" s="75"/>
      <c r="O83" s="75"/>
      <c r="P83" s="75"/>
      <c r="Q83" s="75"/>
      <c r="R83" s="75"/>
      <c r="S83" s="75"/>
      <c r="T83" s="75"/>
      <c r="U83" s="75"/>
    </row>
    <row r="84" spans="1:21" s="156" customFormat="1" ht="18" customHeight="1" x14ac:dyDescent="0.35">
      <c r="A84" s="200"/>
      <c r="B84" s="321" t="s">
        <v>288</v>
      </c>
      <c r="C84" s="201">
        <f>SUM(C85:C87)</f>
        <v>0</v>
      </c>
      <c r="D84" s="191" t="s">
        <v>17</v>
      </c>
      <c r="E84" s="78"/>
      <c r="F84" s="200"/>
      <c r="G84" s="177"/>
      <c r="H84" s="155"/>
      <c r="I84" s="154"/>
      <c r="J84" s="155"/>
      <c r="L84" s="157"/>
      <c r="M84" s="75"/>
      <c r="N84" s="75"/>
      <c r="O84" s="75"/>
      <c r="P84" s="75"/>
      <c r="Q84" s="75"/>
      <c r="R84" s="75"/>
      <c r="S84" s="75"/>
      <c r="T84" s="75"/>
      <c r="U84" s="75"/>
    </row>
    <row r="85" spans="1:21" s="155" customFormat="1" ht="18" customHeight="1" x14ac:dyDescent="0.35">
      <c r="A85" s="200"/>
      <c r="B85" s="322" t="s">
        <v>280</v>
      </c>
      <c r="C85" s="146" t="str">
        <f>IFERROR(C63*SUM('Inputs &amp; Values'!$C$11:$C$12),"")</f>
        <v/>
      </c>
      <c r="D85" s="181" t="s">
        <v>17</v>
      </c>
      <c r="E85" s="79" t="s">
        <v>263</v>
      </c>
      <c r="F85" s="200"/>
      <c r="G85" s="202"/>
      <c r="I85" s="154"/>
      <c r="K85" s="156"/>
      <c r="L85" s="157"/>
      <c r="M85" s="75"/>
      <c r="N85" s="75"/>
      <c r="O85" s="75"/>
      <c r="P85" s="75"/>
      <c r="Q85" s="75"/>
      <c r="R85" s="75"/>
      <c r="S85" s="75"/>
      <c r="T85" s="75"/>
      <c r="U85" s="75"/>
    </row>
    <row r="86" spans="1:21" s="155" customFormat="1" ht="18" customHeight="1" x14ac:dyDescent="0.35">
      <c r="A86" s="200"/>
      <c r="B86" s="322" t="s">
        <v>279</v>
      </c>
      <c r="C86" s="146" t="str">
        <f>IFERROR(C64*'Inputs &amp; Values'!$C$13,"")</f>
        <v/>
      </c>
      <c r="D86" s="181" t="s">
        <v>17</v>
      </c>
      <c r="E86" s="79" t="s">
        <v>263</v>
      </c>
      <c r="F86" s="200"/>
      <c r="K86" s="156"/>
      <c r="L86" s="157"/>
      <c r="M86" s="75"/>
      <c r="N86" s="75"/>
      <c r="O86" s="75"/>
      <c r="P86" s="75"/>
      <c r="Q86" s="75"/>
      <c r="R86" s="75"/>
      <c r="S86" s="75"/>
      <c r="T86" s="75"/>
      <c r="U86" s="75"/>
    </row>
    <row r="87" spans="1:21" s="155" customFormat="1" ht="18" customHeight="1" x14ac:dyDescent="0.35">
      <c r="A87" s="200"/>
      <c r="B87" s="322" t="s">
        <v>281</v>
      </c>
      <c r="C87" s="146" t="str">
        <f>IFERROR(C65*'Inputs &amp; Values'!$C$14,"")</f>
        <v/>
      </c>
      <c r="D87" s="181" t="s">
        <v>17</v>
      </c>
      <c r="E87" s="79" t="s">
        <v>263</v>
      </c>
      <c r="F87" s="200"/>
      <c r="K87" s="156"/>
      <c r="L87" s="157"/>
      <c r="M87" s="75"/>
      <c r="N87" s="75"/>
      <c r="O87" s="75"/>
      <c r="P87" s="75"/>
      <c r="Q87" s="75"/>
      <c r="R87" s="75"/>
      <c r="S87" s="75"/>
      <c r="T87" s="75"/>
      <c r="U87" s="75"/>
    </row>
    <row r="88" spans="1:21" s="156" customFormat="1" ht="18" customHeight="1" x14ac:dyDescent="0.35">
      <c r="A88" s="200"/>
      <c r="B88" s="321" t="s">
        <v>287</v>
      </c>
      <c r="C88" s="201">
        <f>SUM(C89:C91)</f>
        <v>0</v>
      </c>
      <c r="D88" s="191" t="s">
        <v>17</v>
      </c>
      <c r="E88" s="78"/>
      <c r="F88" s="200"/>
      <c r="G88" s="177"/>
      <c r="H88" s="155"/>
      <c r="I88" s="154"/>
      <c r="J88" s="155"/>
      <c r="L88" s="157"/>
      <c r="M88" s="75"/>
      <c r="N88" s="75"/>
      <c r="O88" s="75"/>
      <c r="P88" s="75"/>
      <c r="Q88" s="75"/>
      <c r="R88" s="75"/>
      <c r="S88" s="75"/>
      <c r="T88" s="75"/>
      <c r="U88" s="75"/>
    </row>
    <row r="89" spans="1:21" s="156" customFormat="1" ht="18" customHeight="1" x14ac:dyDescent="0.35">
      <c r="A89" s="200"/>
      <c r="B89" s="13" t="s">
        <v>282</v>
      </c>
      <c r="C89" s="146" t="str">
        <f>IFERROR(C67*SUM('Inputs &amp; Values'!$C$11:$C$12),"")</f>
        <v/>
      </c>
      <c r="D89" s="181" t="s">
        <v>17</v>
      </c>
      <c r="E89" s="79" t="s">
        <v>263</v>
      </c>
      <c r="F89" s="200"/>
      <c r="G89" s="177"/>
      <c r="H89" s="155"/>
      <c r="I89" s="154"/>
      <c r="J89" s="155"/>
      <c r="L89" s="157"/>
      <c r="M89" s="75"/>
      <c r="N89" s="75"/>
      <c r="O89" s="75"/>
      <c r="P89" s="75"/>
      <c r="Q89" s="75"/>
      <c r="R89" s="75"/>
      <c r="S89" s="75"/>
      <c r="T89" s="75"/>
      <c r="U89" s="75"/>
    </row>
    <row r="90" spans="1:21" s="156" customFormat="1" ht="18" customHeight="1" x14ac:dyDescent="0.35">
      <c r="A90" s="200"/>
      <c r="B90" s="13" t="s">
        <v>279</v>
      </c>
      <c r="C90" s="146" t="str">
        <f>IFERROR(C68*'Inputs &amp; Values'!$C$13,"")</f>
        <v/>
      </c>
      <c r="D90" s="181" t="s">
        <v>17</v>
      </c>
      <c r="E90" s="79" t="s">
        <v>263</v>
      </c>
      <c r="F90" s="200"/>
      <c r="G90" s="177"/>
      <c r="H90" s="155"/>
      <c r="I90" s="154"/>
      <c r="J90" s="155"/>
      <c r="L90" s="157"/>
      <c r="M90" s="75"/>
      <c r="N90" s="75"/>
      <c r="O90" s="75"/>
      <c r="P90" s="75"/>
      <c r="Q90" s="75"/>
      <c r="R90" s="75"/>
      <c r="S90" s="75"/>
      <c r="T90" s="75"/>
      <c r="U90" s="75"/>
    </row>
    <row r="91" spans="1:21" s="156" customFormat="1" ht="18" customHeight="1" x14ac:dyDescent="0.35">
      <c r="A91" s="200"/>
      <c r="B91" s="13" t="s">
        <v>283</v>
      </c>
      <c r="C91" s="216" t="str">
        <f>IFERROR(C69*'Inputs &amp; Values'!$C$14,"")</f>
        <v/>
      </c>
      <c r="D91" s="183" t="s">
        <v>17</v>
      </c>
      <c r="E91" s="79" t="s">
        <v>263</v>
      </c>
      <c r="F91" s="200"/>
      <c r="G91" s="177"/>
      <c r="H91" s="155"/>
      <c r="I91" s="154"/>
      <c r="J91" s="155"/>
      <c r="L91" s="157"/>
      <c r="M91" s="75"/>
      <c r="N91" s="75"/>
      <c r="O91" s="75"/>
      <c r="P91" s="75"/>
      <c r="Q91" s="75"/>
      <c r="R91" s="75"/>
      <c r="S91" s="75"/>
      <c r="T91" s="75"/>
      <c r="U91" s="75"/>
    </row>
    <row r="92" spans="1:21" s="155" customFormat="1" ht="18" customHeight="1" x14ac:dyDescent="0.35">
      <c r="A92" s="158"/>
      <c r="B92" s="94" t="s">
        <v>30</v>
      </c>
      <c r="C92" s="205">
        <f>SUM(C84,C88)</f>
        <v>0</v>
      </c>
      <c r="D92" s="206" t="s">
        <v>17</v>
      </c>
      <c r="E92" s="105"/>
      <c r="F92" s="158"/>
      <c r="G92" s="207"/>
      <c r="H92" s="208"/>
      <c r="K92" s="156"/>
      <c r="L92" s="157"/>
      <c r="M92" s="75"/>
      <c r="N92" s="75"/>
      <c r="O92" s="75"/>
      <c r="P92" s="75"/>
      <c r="Q92" s="75"/>
      <c r="R92" s="75"/>
      <c r="S92" s="75"/>
      <c r="T92" s="75"/>
      <c r="U92" s="75"/>
    </row>
    <row r="93" spans="1:21" s="156" customFormat="1" ht="18" customHeight="1" x14ac:dyDescent="0.35">
      <c r="A93" s="200"/>
      <c r="B93" s="249" t="s">
        <v>269</v>
      </c>
      <c r="C93" s="250"/>
      <c r="D93" s="251"/>
      <c r="E93" s="167"/>
      <c r="F93" s="200"/>
      <c r="G93" s="177"/>
      <c r="H93" s="155"/>
      <c r="I93" s="154"/>
      <c r="J93" s="155"/>
      <c r="L93" s="157"/>
      <c r="M93" s="75"/>
      <c r="N93" s="75"/>
      <c r="O93" s="75"/>
      <c r="P93" s="75"/>
      <c r="Q93" s="75"/>
      <c r="R93" s="75"/>
      <c r="S93" s="75"/>
      <c r="T93" s="75"/>
      <c r="U93" s="75"/>
    </row>
    <row r="94" spans="1:21" s="155" customFormat="1" ht="18" customHeight="1" x14ac:dyDescent="0.35">
      <c r="A94" s="158"/>
      <c r="B94" s="94" t="s">
        <v>268</v>
      </c>
      <c r="C94" s="205">
        <f>SUM(C82,C92)</f>
        <v>0</v>
      </c>
      <c r="D94" s="206" t="s">
        <v>17</v>
      </c>
      <c r="E94" s="105"/>
      <c r="F94" s="158"/>
      <c r="G94" s="207"/>
      <c r="H94" s="208"/>
      <c r="K94" s="156"/>
      <c r="L94" s="157"/>
      <c r="M94" s="75"/>
      <c r="N94" s="75"/>
      <c r="O94" s="75"/>
      <c r="P94" s="75"/>
      <c r="Q94" s="75"/>
      <c r="R94" s="75"/>
      <c r="S94" s="75"/>
      <c r="T94" s="75"/>
      <c r="U94" s="75"/>
    </row>
    <row r="95" spans="1:21" s="156" customFormat="1" ht="18" customHeight="1" x14ac:dyDescent="0.35">
      <c r="A95" s="200"/>
      <c r="B95" s="106" t="s">
        <v>266</v>
      </c>
      <c r="C95" s="216">
        <f>C12*'Inputs &amp; Values'!C49</f>
        <v>0</v>
      </c>
      <c r="D95" s="183" t="s">
        <v>17</v>
      </c>
      <c r="E95" s="93"/>
      <c r="F95" s="200"/>
      <c r="G95" s="177"/>
      <c r="H95" s="155"/>
      <c r="I95" s="154"/>
      <c r="J95" s="155"/>
      <c r="L95" s="157"/>
      <c r="M95" s="75"/>
      <c r="N95" s="75"/>
      <c r="O95" s="75"/>
      <c r="P95" s="75"/>
      <c r="Q95" s="75"/>
      <c r="R95" s="75"/>
      <c r="S95" s="75"/>
      <c r="T95" s="75"/>
      <c r="U95" s="75"/>
    </row>
    <row r="96" spans="1:21" ht="20" customHeight="1" x14ac:dyDescent="0.35">
      <c r="A96" s="200"/>
      <c r="B96" s="94" t="s">
        <v>270</v>
      </c>
      <c r="C96" s="205">
        <f>C94-C95</f>
        <v>0</v>
      </c>
      <c r="D96" s="179" t="s">
        <v>17</v>
      </c>
      <c r="E96" s="98"/>
      <c r="F96" s="200"/>
    </row>
    <row r="97" spans="1:21" x14ac:dyDescent="0.35">
      <c r="A97" s="75"/>
      <c r="B97" s="75"/>
      <c r="C97" s="75"/>
      <c r="D97" s="75"/>
      <c r="E97" s="75"/>
      <c r="F97" s="75"/>
    </row>
    <row r="98" spans="1:21" s="155" customFormat="1" x14ac:dyDescent="0.35">
      <c r="A98" s="75"/>
      <c r="B98" s="75"/>
      <c r="C98" s="209"/>
      <c r="D98" s="75"/>
      <c r="E98" s="75"/>
      <c r="F98" s="75"/>
      <c r="G98" s="210"/>
      <c r="K98" s="156"/>
      <c r="L98" s="157"/>
      <c r="M98" s="75"/>
      <c r="N98" s="75"/>
      <c r="O98" s="75"/>
      <c r="P98" s="75"/>
      <c r="Q98" s="75"/>
      <c r="R98" s="75"/>
      <c r="S98" s="75"/>
      <c r="T98" s="75"/>
      <c r="U98" s="75"/>
    </row>
    <row r="99" spans="1:21" s="155" customFormat="1" ht="19" customHeight="1" x14ac:dyDescent="0.35">
      <c r="A99" s="75"/>
      <c r="B99" s="189" t="s">
        <v>82</v>
      </c>
      <c r="C99" s="190"/>
      <c r="D99" s="190"/>
      <c r="E99" s="190"/>
      <c r="F99" s="75"/>
      <c r="K99" s="156"/>
      <c r="L99" s="157"/>
      <c r="M99" s="75"/>
      <c r="N99" s="75"/>
      <c r="O99" s="75"/>
      <c r="P99" s="75"/>
      <c r="Q99" s="75"/>
      <c r="R99" s="75"/>
      <c r="S99" s="75"/>
      <c r="T99" s="75"/>
      <c r="U99" s="75"/>
    </row>
    <row r="100" spans="1:21" s="155" customFormat="1" ht="22" customHeight="1" x14ac:dyDescent="0.35">
      <c r="A100" s="75"/>
      <c r="B100" s="46" t="s">
        <v>195</v>
      </c>
      <c r="C100" s="211"/>
      <c r="D100" s="211"/>
      <c r="E100" s="211"/>
      <c r="F100" s="75"/>
      <c r="K100" s="156"/>
      <c r="L100" s="157"/>
      <c r="M100" s="75"/>
      <c r="N100" s="75"/>
      <c r="O100" s="75"/>
      <c r="P100" s="75"/>
      <c r="Q100" s="75"/>
      <c r="R100" s="75"/>
      <c r="S100" s="75"/>
      <c r="T100" s="75"/>
      <c r="U100" s="75"/>
    </row>
    <row r="101" spans="1:21" s="155" customFormat="1" ht="18" customHeight="1" x14ac:dyDescent="0.35">
      <c r="A101" s="200"/>
      <c r="B101" s="13" t="s">
        <v>168</v>
      </c>
      <c r="C101" s="146">
        <f>'Inputs &amp; Values'!C67*'Inputs &amp; Values'!C71</f>
        <v>0</v>
      </c>
      <c r="D101" s="181" t="s">
        <v>112</v>
      </c>
      <c r="E101" s="79" t="s">
        <v>263</v>
      </c>
      <c r="F101" s="200"/>
      <c r="K101" s="156"/>
      <c r="L101" s="157"/>
      <c r="M101" s="75"/>
      <c r="N101" s="75"/>
      <c r="O101" s="75"/>
      <c r="P101" s="75"/>
      <c r="Q101" s="75"/>
      <c r="R101" s="75"/>
      <c r="S101" s="75"/>
      <c r="T101" s="75"/>
      <c r="U101" s="75"/>
    </row>
    <row r="102" spans="1:21" s="155" customFormat="1" ht="18" customHeight="1" x14ac:dyDescent="0.35">
      <c r="A102" s="200"/>
      <c r="B102" s="13" t="s">
        <v>193</v>
      </c>
      <c r="C102" s="146">
        <f>'Inputs &amp; Values'!C68*'Inputs &amp; Values'!C71</f>
        <v>0</v>
      </c>
      <c r="D102" s="181" t="s">
        <v>112</v>
      </c>
      <c r="E102" s="79" t="s">
        <v>263</v>
      </c>
      <c r="F102" s="200"/>
      <c r="K102" s="156"/>
      <c r="L102" s="157"/>
      <c r="M102" s="75"/>
      <c r="N102" s="75"/>
      <c r="O102" s="75"/>
      <c r="P102" s="75"/>
      <c r="Q102" s="75"/>
      <c r="R102" s="75"/>
      <c r="S102" s="75"/>
      <c r="T102" s="75"/>
      <c r="U102" s="75"/>
    </row>
    <row r="103" spans="1:21" s="155" customFormat="1" ht="18" customHeight="1" x14ac:dyDescent="0.35">
      <c r="A103" s="200"/>
      <c r="B103" s="13" t="s">
        <v>192</v>
      </c>
      <c r="C103" s="146">
        <f>'Inputs &amp; Values'!C69*'Inputs &amp; Values'!C72</f>
        <v>0</v>
      </c>
      <c r="D103" s="181" t="s">
        <v>112</v>
      </c>
      <c r="E103" s="79" t="s">
        <v>263</v>
      </c>
      <c r="F103" s="200"/>
      <c r="K103" s="156"/>
      <c r="L103" s="157"/>
      <c r="M103" s="75"/>
      <c r="N103" s="75"/>
      <c r="O103" s="75"/>
      <c r="P103" s="75"/>
      <c r="Q103" s="75"/>
      <c r="R103" s="75"/>
      <c r="S103" s="75"/>
      <c r="T103" s="75"/>
      <c r="U103" s="75"/>
    </row>
    <row r="104" spans="1:21" s="155" customFormat="1" ht="18" customHeight="1" x14ac:dyDescent="0.35">
      <c r="A104" s="200"/>
      <c r="B104" s="94" t="s">
        <v>230</v>
      </c>
      <c r="C104" s="205">
        <f>SUM(C101:C103)</f>
        <v>0</v>
      </c>
      <c r="D104" s="179"/>
      <c r="E104" s="98"/>
      <c r="F104" s="200"/>
      <c r="K104" s="156"/>
      <c r="L104" s="157"/>
      <c r="M104" s="75"/>
      <c r="N104" s="75"/>
      <c r="O104" s="75"/>
      <c r="P104" s="75"/>
      <c r="Q104" s="75"/>
      <c r="R104" s="75"/>
      <c r="S104" s="75"/>
      <c r="T104" s="75"/>
      <c r="U104" s="75"/>
    </row>
    <row r="105" spans="1:21" s="155" customFormat="1" ht="18" customHeight="1" x14ac:dyDescent="0.35">
      <c r="A105" s="200"/>
      <c r="B105" s="46" t="s">
        <v>82</v>
      </c>
      <c r="C105" s="211"/>
      <c r="D105" s="211"/>
      <c r="E105" s="211"/>
      <c r="F105" s="200"/>
      <c r="K105" s="156"/>
      <c r="L105" s="157"/>
      <c r="M105" s="75"/>
      <c r="N105" s="75"/>
      <c r="O105" s="75"/>
      <c r="P105" s="75"/>
      <c r="Q105" s="75"/>
      <c r="R105" s="75"/>
      <c r="S105" s="75"/>
      <c r="T105" s="75"/>
      <c r="U105" s="75"/>
    </row>
    <row r="106" spans="1:21" s="155" customFormat="1" ht="18" customHeight="1" x14ac:dyDescent="0.35">
      <c r="A106" s="200"/>
      <c r="B106" s="13" t="s">
        <v>83</v>
      </c>
      <c r="C106" s="146">
        <f>'Inputs &amp; Values'!C73*'Inputs &amp; Values'!$C$6</f>
        <v>0</v>
      </c>
      <c r="D106" s="181" t="s">
        <v>112</v>
      </c>
      <c r="E106" s="79" t="s">
        <v>263</v>
      </c>
      <c r="F106" s="200"/>
      <c r="K106" s="156"/>
      <c r="L106" s="157"/>
      <c r="M106" s="75"/>
      <c r="N106" s="75"/>
      <c r="O106" s="75"/>
      <c r="P106" s="75"/>
      <c r="Q106" s="75"/>
      <c r="R106" s="75"/>
      <c r="S106" s="75"/>
      <c r="T106" s="75"/>
      <c r="U106" s="75"/>
    </row>
    <row r="107" spans="1:21" s="155" customFormat="1" ht="18" customHeight="1" x14ac:dyDescent="0.35">
      <c r="A107" s="200"/>
      <c r="B107" s="13" t="s">
        <v>84</v>
      </c>
      <c r="C107" s="146">
        <f>'Inputs &amp; Values'!C74*'Inputs &amp; Values'!$C$6</f>
        <v>0</v>
      </c>
      <c r="D107" s="181" t="s">
        <v>112</v>
      </c>
      <c r="E107" s="79" t="s">
        <v>263</v>
      </c>
      <c r="F107" s="200"/>
      <c r="K107" s="156"/>
      <c r="L107" s="157"/>
      <c r="M107" s="75"/>
      <c r="N107" s="75"/>
      <c r="O107" s="75"/>
      <c r="P107" s="75"/>
      <c r="Q107" s="75"/>
      <c r="R107" s="75"/>
      <c r="S107" s="75"/>
      <c r="T107" s="75"/>
      <c r="U107" s="75"/>
    </row>
    <row r="108" spans="1:21" s="155" customFormat="1" ht="18" customHeight="1" x14ac:dyDescent="0.35">
      <c r="A108" s="200"/>
      <c r="B108" s="13" t="s">
        <v>85</v>
      </c>
      <c r="C108" s="146">
        <f>'Inputs &amp; Values'!C75*'Inputs &amp; Values'!$C$6</f>
        <v>0</v>
      </c>
      <c r="D108" s="181" t="s">
        <v>112</v>
      </c>
      <c r="E108" s="79" t="s">
        <v>263</v>
      </c>
      <c r="F108" s="200"/>
      <c r="K108" s="156"/>
      <c r="L108" s="157"/>
      <c r="M108" s="75"/>
      <c r="N108" s="75"/>
      <c r="O108" s="75"/>
      <c r="P108" s="75"/>
      <c r="Q108" s="75"/>
      <c r="R108" s="75"/>
      <c r="S108" s="75"/>
      <c r="T108" s="75"/>
      <c r="U108" s="75"/>
    </row>
    <row r="109" spans="1:21" s="155" customFormat="1" ht="18" customHeight="1" x14ac:dyDescent="0.35">
      <c r="A109" s="200"/>
      <c r="B109" s="89" t="s">
        <v>86</v>
      </c>
      <c r="C109" s="146">
        <f>'Inputs &amp; Values'!C76*'Inputs &amp; Values'!$C$6</f>
        <v>0</v>
      </c>
      <c r="D109" s="183" t="s">
        <v>112</v>
      </c>
      <c r="E109" s="79" t="s">
        <v>263</v>
      </c>
      <c r="F109" s="200"/>
      <c r="K109" s="156"/>
      <c r="L109" s="157"/>
      <c r="M109" s="75"/>
      <c r="N109" s="75"/>
      <c r="O109" s="75"/>
      <c r="P109" s="75"/>
      <c r="Q109" s="75"/>
      <c r="R109" s="75"/>
      <c r="S109" s="75"/>
      <c r="T109" s="75"/>
      <c r="U109" s="75"/>
    </row>
    <row r="110" spans="1:21" s="155" customFormat="1" ht="18" customHeight="1" x14ac:dyDescent="0.35">
      <c r="A110" s="200"/>
      <c r="B110" s="89" t="s">
        <v>203</v>
      </c>
      <c r="C110" s="146">
        <f>'Inputs &amp; Values'!C77</f>
        <v>0</v>
      </c>
      <c r="D110" s="183" t="s">
        <v>112</v>
      </c>
      <c r="E110" s="79" t="s">
        <v>263</v>
      </c>
      <c r="F110" s="200"/>
      <c r="K110" s="156"/>
      <c r="L110" s="157"/>
      <c r="M110" s="75"/>
      <c r="N110" s="75"/>
      <c r="O110" s="75"/>
      <c r="P110" s="75"/>
      <c r="Q110" s="75"/>
      <c r="R110" s="75"/>
      <c r="S110" s="75"/>
      <c r="T110" s="75"/>
      <c r="U110" s="75"/>
    </row>
    <row r="111" spans="1:21" s="155" customFormat="1" ht="18" customHeight="1" x14ac:dyDescent="0.35">
      <c r="A111" s="200"/>
      <c r="B111" s="94" t="s">
        <v>113</v>
      </c>
      <c r="C111" s="205">
        <f>SUM(C106:C110)</f>
        <v>0</v>
      </c>
      <c r="D111" s="179" t="s">
        <v>112</v>
      </c>
      <c r="E111" s="98"/>
      <c r="F111" s="200"/>
      <c r="K111" s="156"/>
      <c r="L111" s="157"/>
      <c r="M111" s="75"/>
      <c r="N111" s="75"/>
      <c r="O111" s="75"/>
      <c r="P111" s="75"/>
      <c r="Q111" s="75"/>
      <c r="R111" s="75"/>
      <c r="S111" s="75"/>
      <c r="T111" s="75"/>
      <c r="U111" s="75"/>
    </row>
    <row r="112" spans="1:21" s="155" customFormat="1" ht="18" customHeight="1" x14ac:dyDescent="0.35">
      <c r="A112" s="200"/>
      <c r="B112" s="94" t="s">
        <v>124</v>
      </c>
      <c r="C112" s="226" t="str">
        <f>IFERROR(C111/'Inputs &amp; Values'!C6,"")</f>
        <v/>
      </c>
      <c r="D112" s="179" t="s">
        <v>123</v>
      </c>
      <c r="E112" s="98"/>
      <c r="F112" s="200"/>
      <c r="K112" s="156"/>
      <c r="L112" s="157"/>
      <c r="M112" s="75"/>
      <c r="N112" s="75"/>
      <c r="O112" s="75"/>
      <c r="P112" s="75"/>
      <c r="Q112" s="75"/>
      <c r="R112" s="75"/>
      <c r="S112" s="75"/>
      <c r="T112" s="75"/>
      <c r="U112" s="75"/>
    </row>
    <row r="113" spans="1:21" s="155" customFormat="1" x14ac:dyDescent="0.35">
      <c r="A113" s="75"/>
      <c r="B113" s="75"/>
      <c r="C113" s="75"/>
      <c r="D113" s="75"/>
      <c r="E113" s="75"/>
      <c r="F113" s="75"/>
      <c r="K113" s="156"/>
      <c r="L113" s="157"/>
      <c r="M113" s="75"/>
      <c r="N113" s="75"/>
      <c r="O113" s="75"/>
      <c r="P113" s="75"/>
      <c r="Q113" s="75"/>
      <c r="R113" s="75"/>
      <c r="S113" s="75"/>
      <c r="T113" s="75"/>
      <c r="U113" s="75"/>
    </row>
    <row r="114" spans="1:21" s="155" customFormat="1" x14ac:dyDescent="0.35">
      <c r="A114" s="75"/>
      <c r="B114" s="75"/>
      <c r="C114" s="75"/>
      <c r="D114" s="75"/>
      <c r="E114" s="75"/>
      <c r="F114" s="75"/>
      <c r="K114" s="156"/>
      <c r="L114" s="157"/>
      <c r="M114" s="75"/>
      <c r="N114" s="75"/>
      <c r="O114" s="75"/>
      <c r="P114" s="75"/>
      <c r="Q114" s="75"/>
      <c r="R114" s="75"/>
      <c r="S114" s="75"/>
      <c r="T114" s="75"/>
      <c r="U114" s="75"/>
    </row>
    <row r="115" spans="1:21" s="155" customFormat="1" ht="19" customHeight="1" x14ac:dyDescent="0.35">
      <c r="A115" s="75"/>
      <c r="B115" s="189" t="s">
        <v>98</v>
      </c>
      <c r="C115" s="190"/>
      <c r="D115" s="190"/>
      <c r="E115" s="190"/>
      <c r="F115" s="75"/>
      <c r="K115" s="156"/>
      <c r="L115" s="157"/>
      <c r="M115" s="75"/>
      <c r="N115" s="75"/>
      <c r="O115" s="75"/>
      <c r="P115" s="75"/>
      <c r="Q115" s="75"/>
      <c r="R115" s="75"/>
      <c r="S115" s="75"/>
      <c r="T115" s="75"/>
      <c r="U115" s="75"/>
    </row>
    <row r="116" spans="1:21" s="155" customFormat="1" ht="18" customHeight="1" x14ac:dyDescent="0.35">
      <c r="A116" s="200"/>
      <c r="B116" s="13" t="s">
        <v>100</v>
      </c>
      <c r="C116" s="170">
        <f>C46*'Inputs &amp; Values'!C82</f>
        <v>0</v>
      </c>
      <c r="D116" s="212" t="s">
        <v>320</v>
      </c>
      <c r="E116" s="79" t="s">
        <v>263</v>
      </c>
      <c r="F116" s="200"/>
      <c r="K116" s="156"/>
      <c r="L116" s="157"/>
      <c r="M116" s="75"/>
      <c r="N116" s="75"/>
      <c r="O116" s="75"/>
      <c r="P116" s="75"/>
      <c r="Q116" s="75"/>
      <c r="R116" s="75"/>
      <c r="S116" s="75"/>
      <c r="T116" s="75"/>
      <c r="U116" s="75"/>
    </row>
    <row r="117" spans="1:21" s="155" customFormat="1" ht="18" customHeight="1" x14ac:dyDescent="0.35">
      <c r="A117" s="200"/>
      <c r="B117" s="13" t="s">
        <v>101</v>
      </c>
      <c r="C117" s="170" t="str">
        <f>IFERROR(C47*'Inputs &amp; Values'!C83,"")</f>
        <v/>
      </c>
      <c r="D117" s="212" t="s">
        <v>320</v>
      </c>
      <c r="E117" s="79" t="s">
        <v>263</v>
      </c>
      <c r="F117" s="200"/>
      <c r="K117" s="156"/>
      <c r="L117" s="157"/>
      <c r="M117" s="75"/>
      <c r="N117" s="75"/>
      <c r="O117" s="75"/>
      <c r="P117" s="75"/>
      <c r="Q117" s="75"/>
      <c r="R117" s="75"/>
      <c r="S117" s="75"/>
      <c r="T117" s="75"/>
      <c r="U117" s="75"/>
    </row>
    <row r="118" spans="1:21" s="155" customFormat="1" ht="18" customHeight="1" x14ac:dyDescent="0.35">
      <c r="A118" s="200"/>
      <c r="B118" s="89" t="s">
        <v>102</v>
      </c>
      <c r="C118" s="217">
        <f>C48*'Inputs &amp; Values'!C84</f>
        <v>0</v>
      </c>
      <c r="D118" s="212" t="s">
        <v>320</v>
      </c>
      <c r="E118" s="79" t="s">
        <v>263</v>
      </c>
      <c r="F118" s="200"/>
      <c r="K118" s="156"/>
      <c r="L118" s="157"/>
      <c r="M118" s="75"/>
      <c r="N118" s="75"/>
      <c r="O118" s="75"/>
      <c r="P118" s="75"/>
      <c r="Q118" s="75"/>
      <c r="R118" s="75"/>
      <c r="S118" s="75"/>
      <c r="T118" s="75"/>
      <c r="U118" s="75"/>
    </row>
    <row r="119" spans="1:21" s="155" customFormat="1" ht="24" customHeight="1" x14ac:dyDescent="0.35">
      <c r="A119" s="200"/>
      <c r="B119" s="94" t="s">
        <v>99</v>
      </c>
      <c r="C119" s="178">
        <f>SUM(C116:C118)</f>
        <v>0</v>
      </c>
      <c r="D119" s="213" t="s">
        <v>97</v>
      </c>
      <c r="E119" s="98"/>
      <c r="F119" s="200"/>
      <c r="K119" s="156"/>
      <c r="L119" s="157"/>
      <c r="M119" s="75"/>
      <c r="N119" s="75"/>
      <c r="O119" s="75"/>
      <c r="P119" s="75"/>
      <c r="Q119" s="75"/>
      <c r="R119" s="75"/>
      <c r="S119" s="75"/>
      <c r="T119" s="75"/>
      <c r="U119" s="75"/>
    </row>
    <row r="120" spans="1:21" s="155" customFormat="1" ht="18" customHeight="1" x14ac:dyDescent="0.35">
      <c r="A120" s="200"/>
      <c r="B120" s="110" t="s">
        <v>103</v>
      </c>
      <c r="C120" s="218">
        <f>C119*'Inputs &amp; Values'!C84</f>
        <v>0</v>
      </c>
      <c r="D120" s="229" t="s">
        <v>318</v>
      </c>
      <c r="E120" s="79" t="s">
        <v>263</v>
      </c>
      <c r="F120" s="200"/>
      <c r="K120" s="156"/>
      <c r="L120" s="157"/>
      <c r="M120" s="75"/>
      <c r="N120" s="75"/>
      <c r="O120" s="75"/>
      <c r="P120" s="75"/>
      <c r="Q120" s="75"/>
      <c r="R120" s="75"/>
      <c r="S120" s="75"/>
      <c r="T120" s="75"/>
      <c r="U120" s="75"/>
    </row>
    <row r="121" spans="1:21" s="155" customFormat="1" ht="18" customHeight="1" x14ac:dyDescent="0.35">
      <c r="A121" s="200"/>
      <c r="B121" s="13" t="s">
        <v>104</v>
      </c>
      <c r="C121" s="170">
        <f>C119*'Inputs &amp; Values'!C85</f>
        <v>0</v>
      </c>
      <c r="D121" s="229" t="s">
        <v>319</v>
      </c>
      <c r="E121" s="79" t="s">
        <v>263</v>
      </c>
      <c r="F121" s="200"/>
      <c r="K121" s="156"/>
      <c r="L121" s="157"/>
      <c r="M121" s="75"/>
      <c r="N121" s="75"/>
      <c r="O121" s="75"/>
      <c r="P121" s="75"/>
      <c r="Q121" s="75"/>
      <c r="R121" s="75"/>
      <c r="S121" s="75"/>
      <c r="T121" s="75"/>
      <c r="U121" s="75"/>
    </row>
    <row r="122" spans="1:21" s="155" customFormat="1" ht="18" customHeight="1" x14ac:dyDescent="0.35">
      <c r="A122" s="200"/>
      <c r="B122" s="13" t="s">
        <v>196</v>
      </c>
      <c r="C122" s="146">
        <f>SUM(C116:C117)*'Inputs &amp; Values'!C86</f>
        <v>0</v>
      </c>
      <c r="D122" s="212" t="s">
        <v>17</v>
      </c>
      <c r="E122" s="79" t="s">
        <v>263</v>
      </c>
      <c r="F122" s="200"/>
      <c r="K122" s="156"/>
      <c r="L122" s="157"/>
      <c r="M122" s="75"/>
      <c r="N122" s="75"/>
      <c r="O122" s="75"/>
      <c r="P122" s="75"/>
      <c r="Q122" s="75"/>
      <c r="R122" s="75"/>
      <c r="S122" s="75"/>
      <c r="T122" s="75"/>
      <c r="U122" s="75"/>
    </row>
    <row r="123" spans="1:21" s="155" customFormat="1" ht="18" customHeight="1" x14ac:dyDescent="0.35">
      <c r="A123" s="200"/>
      <c r="B123" s="13" t="s">
        <v>107</v>
      </c>
      <c r="C123" s="146">
        <f>SUM(C46:C47)*'Inputs &amp; Values'!C12</f>
        <v>0</v>
      </c>
      <c r="D123" s="212" t="s">
        <v>17</v>
      </c>
      <c r="E123" s="79" t="s">
        <v>224</v>
      </c>
      <c r="F123" s="200"/>
      <c r="K123" s="156"/>
      <c r="L123" s="157"/>
      <c r="M123" s="75"/>
      <c r="N123" s="75"/>
      <c r="O123" s="75"/>
      <c r="P123" s="75"/>
      <c r="Q123" s="75"/>
      <c r="R123" s="75"/>
      <c r="S123" s="75"/>
      <c r="T123" s="75"/>
      <c r="U123" s="75"/>
    </row>
    <row r="124" spans="1:21" ht="18" customHeight="1" x14ac:dyDescent="0.35">
      <c r="A124" s="200"/>
      <c r="B124" s="13" t="s">
        <v>108</v>
      </c>
      <c r="C124" s="146">
        <f>C49*'Inputs &amp; Values'!C88</f>
        <v>0</v>
      </c>
      <c r="D124" s="212" t="s">
        <v>17</v>
      </c>
      <c r="E124" s="79" t="s">
        <v>263</v>
      </c>
      <c r="F124" s="200"/>
    </row>
    <row r="125" spans="1:21" ht="18" customHeight="1" x14ac:dyDescent="0.35">
      <c r="A125" s="200"/>
      <c r="B125" s="13" t="s">
        <v>25</v>
      </c>
      <c r="C125" s="187">
        <f>C49/10000*'Inputs &amp; Values'!C87</f>
        <v>0</v>
      </c>
      <c r="D125" s="212" t="s">
        <v>317</v>
      </c>
      <c r="E125" s="79" t="s">
        <v>263</v>
      </c>
      <c r="F125" s="200"/>
    </row>
    <row r="126" spans="1:21" ht="14.5" x14ac:dyDescent="0.35">
      <c r="A126" s="75"/>
      <c r="B126" s="75"/>
      <c r="C126" s="75"/>
      <c r="D126" s="75"/>
      <c r="E126" s="75"/>
      <c r="F126" s="75"/>
      <c r="T126" s="40"/>
    </row>
    <row r="127" spans="1:21" ht="14.5" x14ac:dyDescent="0.35">
      <c r="A127" s="75"/>
      <c r="B127" s="75"/>
      <c r="C127" s="75"/>
      <c r="D127" s="75"/>
      <c r="E127" s="75"/>
      <c r="F127" s="75"/>
      <c r="T127" s="40"/>
    </row>
    <row r="128" spans="1:21" ht="14.5" hidden="1" x14ac:dyDescent="0.35">
      <c r="A128" s="75"/>
      <c r="B128" s="75"/>
      <c r="C128" s="75"/>
      <c r="D128" s="75"/>
      <c r="E128" s="75"/>
      <c r="F128" s="75"/>
      <c r="T128" s="40"/>
    </row>
    <row r="129" spans="1:21" ht="14.5" hidden="1" x14ac:dyDescent="0.35">
      <c r="B129" s="75"/>
      <c r="C129" s="75"/>
      <c r="D129" s="75"/>
      <c r="E129" s="75"/>
      <c r="U129" s="40"/>
    </row>
    <row r="130" spans="1:21" ht="14.5" hidden="1" x14ac:dyDescent="0.35">
      <c r="B130" s="75"/>
      <c r="C130" s="214"/>
      <c r="D130" s="75"/>
      <c r="E130" s="75"/>
      <c r="U130" s="40"/>
    </row>
    <row r="131" spans="1:21" ht="14.5" hidden="1" x14ac:dyDescent="0.35">
      <c r="B131" s="75"/>
      <c r="C131" s="75"/>
      <c r="D131" s="75"/>
      <c r="E131" s="75"/>
      <c r="U131" s="40"/>
    </row>
    <row r="132" spans="1:21" ht="14.5" hidden="1" x14ac:dyDescent="0.35">
      <c r="B132" s="75"/>
      <c r="C132" s="214"/>
      <c r="D132" s="75"/>
      <c r="E132" s="75"/>
      <c r="U132" s="40"/>
    </row>
    <row r="133" spans="1:21" ht="14.5" hidden="1" x14ac:dyDescent="0.35">
      <c r="B133" s="75"/>
      <c r="C133" s="214"/>
      <c r="D133" s="75"/>
      <c r="E133" s="75"/>
      <c r="U133" s="40"/>
    </row>
    <row r="134" spans="1:21" ht="14.5" hidden="1" x14ac:dyDescent="0.35">
      <c r="B134" s="75"/>
      <c r="C134" s="75"/>
      <c r="D134" s="75"/>
      <c r="E134" s="75"/>
      <c r="U134" s="40"/>
    </row>
    <row r="135" spans="1:21" ht="14.5" hidden="1" x14ac:dyDescent="0.35">
      <c r="B135" s="75"/>
      <c r="C135" s="75"/>
      <c r="D135" s="75"/>
      <c r="E135" s="75"/>
      <c r="U135" s="40"/>
    </row>
    <row r="136" spans="1:21" ht="14.5" hidden="1" x14ac:dyDescent="0.35">
      <c r="B136" s="75"/>
      <c r="C136" s="209"/>
      <c r="D136" s="75"/>
      <c r="E136" s="75"/>
      <c r="U136" s="40"/>
    </row>
    <row r="137" spans="1:21" ht="14.5" hidden="1" x14ac:dyDescent="0.35">
      <c r="A137" s="75"/>
      <c r="B137" s="75"/>
      <c r="C137" s="209"/>
      <c r="D137" s="75"/>
      <c r="E137" s="75"/>
      <c r="F137" s="75"/>
      <c r="U137" s="40"/>
    </row>
    <row r="138" spans="1:21" ht="14.5" hidden="1" x14ac:dyDescent="0.35">
      <c r="A138" s="75"/>
      <c r="B138" s="75"/>
      <c r="C138" s="214"/>
      <c r="D138" s="75"/>
      <c r="E138" s="75"/>
      <c r="F138" s="75"/>
      <c r="U138" s="40"/>
    </row>
    <row r="139" spans="1:21" ht="14.5" hidden="1" x14ac:dyDescent="0.35">
      <c r="A139" s="75"/>
      <c r="B139" s="75"/>
      <c r="C139" s="75"/>
      <c r="D139" s="75"/>
      <c r="E139" s="75"/>
      <c r="F139" s="75"/>
      <c r="U139" s="40"/>
    </row>
    <row r="140" spans="1:21" ht="14.5" hidden="1" x14ac:dyDescent="0.35">
      <c r="A140" s="75"/>
      <c r="B140" s="75"/>
      <c r="C140" s="75"/>
      <c r="D140" s="75"/>
      <c r="E140" s="75"/>
      <c r="F140" s="75"/>
      <c r="U140" s="40"/>
    </row>
    <row r="141" spans="1:21" ht="14.5" hidden="1" x14ac:dyDescent="0.35">
      <c r="A141" s="75"/>
      <c r="B141" s="75"/>
      <c r="C141" s="75"/>
      <c r="D141" s="75"/>
      <c r="E141" s="75"/>
      <c r="F141" s="75"/>
      <c r="U141" s="40"/>
    </row>
    <row r="142" spans="1:21" ht="14.5" hidden="1" x14ac:dyDescent="0.35">
      <c r="A142" s="75"/>
      <c r="B142" s="75"/>
      <c r="C142" s="75"/>
      <c r="D142" s="75"/>
      <c r="E142" s="75"/>
      <c r="F142" s="75"/>
      <c r="U142" s="40"/>
    </row>
    <row r="143" spans="1:21" ht="14.5" hidden="1" x14ac:dyDescent="0.35">
      <c r="A143" s="75"/>
      <c r="B143" s="75"/>
      <c r="C143" s="75"/>
      <c r="D143" s="75"/>
      <c r="E143" s="75"/>
      <c r="F143" s="75"/>
      <c r="U143" s="40"/>
    </row>
    <row r="144" spans="1:21" ht="14.5" hidden="1" x14ac:dyDescent="0.35">
      <c r="A144" s="75"/>
      <c r="B144" s="75"/>
      <c r="C144" s="75"/>
      <c r="D144" s="75"/>
      <c r="E144" s="75"/>
      <c r="F144" s="75"/>
      <c r="U144" s="40"/>
    </row>
    <row r="145" spans="1:21" ht="14.5" hidden="1" x14ac:dyDescent="0.35">
      <c r="A145" s="75"/>
      <c r="B145" s="75"/>
      <c r="C145" s="75"/>
      <c r="D145" s="75"/>
      <c r="E145" s="75"/>
      <c r="F145" s="75"/>
      <c r="U145" s="40"/>
    </row>
  </sheetData>
  <sheetProtection algorithmName="SHA-512" hashValue="jC7ZOWW4n28ToSUTQonDEgIzKzgF74fcGaHooduGu1kiW0O/vdUxpDpi4OOt5XRWNaNAmadq5HFoUdWc0jw1NA==" saltValue="P/kBgXEMptfDSoPsIDL8ng==" spinCount="100000" sheet="1" objects="1" scenarios="1"/>
  <mergeCells count="1">
    <mergeCell ref="B2:E2"/>
  </mergeCells>
  <conditionalFormatting sqref="C8:C10">
    <cfRule type="cellIs" dxfId="24" priority="12" operator="equal">
      <formula>0</formula>
    </cfRule>
  </conditionalFormatting>
  <conditionalFormatting sqref="C12:C14">
    <cfRule type="cellIs" dxfId="23" priority="11" operator="equal">
      <formula>0</formula>
    </cfRule>
  </conditionalFormatting>
  <conditionalFormatting sqref="C18:C21">
    <cfRule type="cellIs" dxfId="22" priority="10" operator="equal">
      <formula>0</formula>
    </cfRule>
  </conditionalFormatting>
  <conditionalFormatting sqref="C23:C26">
    <cfRule type="cellIs" dxfId="21" priority="8" operator="equal">
      <formula>0</formula>
    </cfRule>
  </conditionalFormatting>
  <conditionalFormatting sqref="C37">
    <cfRule type="cellIs" dxfId="20" priority="13" operator="equal">
      <formula>0</formula>
    </cfRule>
  </conditionalFormatting>
  <conditionalFormatting sqref="C46:C48">
    <cfRule type="cellIs" dxfId="19" priority="14" operator="equal">
      <formula>0</formula>
    </cfRule>
  </conditionalFormatting>
  <conditionalFormatting sqref="C116:C118">
    <cfRule type="cellIs" dxfId="18" priority="5" operator="equal">
      <formula>0</formula>
    </cfRule>
  </conditionalFormatting>
  <conditionalFormatting sqref="C120:C121">
    <cfRule type="cellIs" dxfId="17" priority="3" operator="equal">
      <formula>0</formula>
    </cfRule>
  </conditionalFormatting>
  <conditionalFormatting sqref="C125">
    <cfRule type="cellIs" dxfId="16" priority="1" operator="equal">
      <formula>0</formula>
    </cfRule>
  </conditionalFormatting>
  <pageMargins left="0.7" right="0.7" top="0.75" bottom="0.75" header="0.3" footer="0.3"/>
  <pageSetup paperSize="9" orientation="portrait" r:id="rId1"/>
  <ignoredErrors>
    <ignoredError sqref="C66 C4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B6D56-4ED8-45F3-A742-696B874F35C3}">
  <sheetPr>
    <tabColor rgb="FFA8C836"/>
  </sheetPr>
  <dimension ref="A1:P60"/>
  <sheetViews>
    <sheetView zoomScale="115" zoomScaleNormal="115" workbookViewId="0">
      <pane ySplit="3" topLeftCell="A4" activePane="bottomLeft" state="frozen"/>
      <selection pane="bottomLeft" activeCell="C57" sqref="C57"/>
    </sheetView>
  </sheetViews>
  <sheetFormatPr defaultColWidth="0" defaultRowHeight="14" zeroHeight="1" x14ac:dyDescent="0.35"/>
  <cols>
    <col min="1" max="1" width="3.08984375" style="75" customWidth="1"/>
    <col min="2" max="2" width="57.7265625" style="75" bestFit="1" customWidth="1"/>
    <col min="3" max="3" width="23.90625" style="75" customWidth="1"/>
    <col min="4" max="4" width="34.453125" style="75" customWidth="1"/>
    <col min="5" max="5" width="35.81640625" style="75" customWidth="1"/>
    <col min="6" max="6" width="3.08984375" style="75" customWidth="1"/>
    <col min="7" max="16" width="0" style="75" hidden="1" customWidth="1"/>
    <col min="17" max="16384" width="8.7265625" style="75" hidden="1"/>
  </cols>
  <sheetData>
    <row r="1" spans="2:5" ht="10" customHeight="1" x14ac:dyDescent="0.35"/>
    <row r="2" spans="2:5" ht="40" x14ac:dyDescent="0.35">
      <c r="B2" s="237" t="s">
        <v>191</v>
      </c>
      <c r="D2" s="324" t="s">
        <v>239</v>
      </c>
      <c r="E2" s="325" t="s">
        <v>285</v>
      </c>
    </row>
    <row r="3" spans="2:5" ht="48.5" customHeight="1" x14ac:dyDescent="0.35">
      <c r="D3" s="326" t="s">
        <v>306</v>
      </c>
      <c r="E3" s="326" t="s">
        <v>315</v>
      </c>
    </row>
    <row r="4" spans="2:5" ht="19" customHeight="1" x14ac:dyDescent="0.35">
      <c r="B4" s="189" t="s">
        <v>240</v>
      </c>
      <c r="C4" s="238"/>
      <c r="D4" s="238"/>
      <c r="E4" s="238"/>
    </row>
    <row r="5" spans="2:5" ht="18.5" customHeight="1" x14ac:dyDescent="0.35">
      <c r="B5" s="13" t="s">
        <v>12</v>
      </c>
      <c r="C5" s="181" t="s">
        <v>24</v>
      </c>
      <c r="D5" s="187" t="str">
        <f>IFERROR(('Inputs &amp; Values'!C17*1000)/52/'Inputs &amp; Values'!C6,"")</f>
        <v/>
      </c>
      <c r="E5" s="187" t="str">
        <f>IFERROR(SUM('Sustainable Kerbside Model'!C63,'Sustainable Kerbside Model'!C67)*1000/52/'Inputs &amp; Values'!C6,"")</f>
        <v/>
      </c>
    </row>
    <row r="6" spans="2:5" ht="18.5" customHeight="1" x14ac:dyDescent="0.35">
      <c r="B6" s="13" t="s">
        <v>13</v>
      </c>
      <c r="C6" s="181" t="s">
        <v>24</v>
      </c>
      <c r="D6" s="187" t="str">
        <f>IFERROR(('Inputs &amp; Values'!C18*1000)/52/'Inputs &amp; Values'!C7,"")</f>
        <v/>
      </c>
      <c r="E6" s="187" t="str">
        <f>IFERROR(SUM('Sustainable Kerbside Model'!C64,'Sustainable Kerbside Model'!C68)*1000/52/'Inputs &amp; Values'!C7,"")</f>
        <v/>
      </c>
    </row>
    <row r="7" spans="2:5" ht="18.5" customHeight="1" x14ac:dyDescent="0.35">
      <c r="B7" s="13" t="s">
        <v>47</v>
      </c>
      <c r="C7" s="181" t="s">
        <v>24</v>
      </c>
      <c r="D7" s="187" t="str">
        <f>IFERROR(('Inputs &amp; Values'!C19*1000)/52/'Inputs &amp; Values'!C8,"")</f>
        <v/>
      </c>
      <c r="E7" s="187" t="str">
        <f>IFERROR(SUM('Sustainable Kerbside Model'!C65,'Sustainable Kerbside Model'!C69)*1000/52/'Inputs &amp; Values'!C8,"")</f>
        <v/>
      </c>
    </row>
    <row r="8" spans="2:5" ht="18.5" customHeight="1" x14ac:dyDescent="0.35">
      <c r="B8" s="46" t="s">
        <v>236</v>
      </c>
      <c r="C8" s="191" t="s">
        <v>24</v>
      </c>
      <c r="D8" s="188">
        <f>SUM(D5:D7)</f>
        <v>0</v>
      </c>
      <c r="E8" s="188">
        <f>SUM(E5:E7)</f>
        <v>0</v>
      </c>
    </row>
    <row r="9" spans="2:5" ht="18.5" customHeight="1" x14ac:dyDescent="0.35">
      <c r="B9" s="13" t="s">
        <v>12</v>
      </c>
      <c r="C9" s="181" t="s">
        <v>69</v>
      </c>
      <c r="D9" s="170">
        <f>'Inputs &amp; Values'!C17</f>
        <v>0</v>
      </c>
      <c r="E9" s="170">
        <f>SUM('Sustainable Kerbside Model'!C63,'Sustainable Kerbside Model'!C67)</f>
        <v>0</v>
      </c>
    </row>
    <row r="10" spans="2:5" ht="18.5" customHeight="1" x14ac:dyDescent="0.35">
      <c r="B10" s="13" t="s">
        <v>13</v>
      </c>
      <c r="C10" s="181" t="s">
        <v>69</v>
      </c>
      <c r="D10" s="170">
        <f>'Inputs &amp; Values'!C18</f>
        <v>0</v>
      </c>
      <c r="E10" s="170">
        <f>SUM('Sustainable Kerbside Model'!C64,'Sustainable Kerbside Model'!C68)</f>
        <v>0</v>
      </c>
    </row>
    <row r="11" spans="2:5" ht="18.5" customHeight="1" x14ac:dyDescent="0.35">
      <c r="B11" s="13" t="s">
        <v>47</v>
      </c>
      <c r="C11" s="181" t="s">
        <v>69</v>
      </c>
      <c r="D11" s="170">
        <f>'Inputs &amp; Values'!C19</f>
        <v>0</v>
      </c>
      <c r="E11" s="170">
        <f>SUM('Sustainable Kerbside Model'!C65,'Sustainable Kerbside Model'!C69)</f>
        <v>0</v>
      </c>
    </row>
    <row r="12" spans="2:5" ht="18.5" customHeight="1" x14ac:dyDescent="0.35">
      <c r="B12" s="46" t="s">
        <v>237</v>
      </c>
      <c r="C12" s="191" t="s">
        <v>69</v>
      </c>
      <c r="D12" s="168">
        <f>SUM(D9:D11)</f>
        <v>0</v>
      </c>
      <c r="E12" s="168">
        <f>SUM(E9:E11)</f>
        <v>0</v>
      </c>
    </row>
    <row r="13" spans="2:5" ht="18.5" customHeight="1" x14ac:dyDescent="0.35">
      <c r="B13" s="239" t="s">
        <v>23</v>
      </c>
      <c r="C13" s="240" t="s">
        <v>5</v>
      </c>
      <c r="D13" s="151" t="str">
        <f>IFERROR(SUM(D10:D11)/D12,"")</f>
        <v/>
      </c>
      <c r="E13" s="151" t="str">
        <f t="shared" ref="E13" si="0">IFERROR(SUM(E10:E11)/E12,"")</f>
        <v/>
      </c>
    </row>
    <row r="14" spans="2:5" x14ac:dyDescent="0.35">
      <c r="D14" s="209"/>
      <c r="E14" s="241"/>
    </row>
    <row r="15" spans="2:5" x14ac:dyDescent="0.35">
      <c r="D15" s="209"/>
      <c r="E15" s="241"/>
    </row>
    <row r="16" spans="2:5" ht="19" customHeight="1" x14ac:dyDescent="0.35">
      <c r="B16" s="228" t="s">
        <v>238</v>
      </c>
      <c r="C16" s="238"/>
      <c r="D16" s="238"/>
      <c r="E16" s="238"/>
    </row>
    <row r="17" spans="2:5" ht="18.5" customHeight="1" x14ac:dyDescent="0.35">
      <c r="B17" s="13" t="s">
        <v>175</v>
      </c>
      <c r="C17" s="230" t="s">
        <v>17</v>
      </c>
      <c r="D17" s="146">
        <f>ROUND('Inputs &amp; Values'!C26,-3)</f>
        <v>0</v>
      </c>
      <c r="E17" s="146">
        <f>ROUND('Sustainable Kerbside Model'!C82,-3)</f>
        <v>0</v>
      </c>
    </row>
    <row r="18" spans="2:5" ht="18.5" customHeight="1" x14ac:dyDescent="0.35">
      <c r="B18" s="13" t="s">
        <v>176</v>
      </c>
      <c r="C18" s="230" t="s">
        <v>17</v>
      </c>
      <c r="D18" s="146">
        <f>ROUND('Inputs &amp; Values'!C30,-3)</f>
        <v>0</v>
      </c>
      <c r="E18" s="146">
        <f>ROUND('Sustainable Kerbside Model'!C92,-3)</f>
        <v>0</v>
      </c>
    </row>
    <row r="19" spans="2:5" ht="18.5" customHeight="1" x14ac:dyDescent="0.35">
      <c r="B19" s="239" t="s">
        <v>271</v>
      </c>
      <c r="C19" s="240" t="s">
        <v>17</v>
      </c>
      <c r="D19" s="152">
        <f>SUM(D17:D18)</f>
        <v>0</v>
      </c>
      <c r="E19" s="152">
        <f>SUM(E17:E18)</f>
        <v>0</v>
      </c>
    </row>
    <row r="20" spans="2:5" x14ac:dyDescent="0.35">
      <c r="D20" s="242"/>
      <c r="E20" s="214"/>
    </row>
    <row r="21" spans="2:5" ht="20" customHeight="1" x14ac:dyDescent="0.35">
      <c r="B21" s="243" t="s">
        <v>185</v>
      </c>
      <c r="C21" s="230" t="s">
        <v>17</v>
      </c>
      <c r="D21" s="232"/>
      <c r="E21" s="147">
        <f>E17-$D$17</f>
        <v>0</v>
      </c>
    </row>
    <row r="22" spans="2:5" ht="20" customHeight="1" x14ac:dyDescent="0.35">
      <c r="B22" s="243" t="s">
        <v>241</v>
      </c>
      <c r="C22" s="230" t="s">
        <v>17</v>
      </c>
      <c r="D22" s="232"/>
      <c r="E22" s="147">
        <f>E18-$D$18</f>
        <v>0</v>
      </c>
    </row>
    <row r="23" spans="2:5" ht="20" customHeight="1" x14ac:dyDescent="0.35">
      <c r="B23" s="244" t="s">
        <v>186</v>
      </c>
      <c r="C23" s="231" t="s">
        <v>17</v>
      </c>
      <c r="D23" s="233"/>
      <c r="E23" s="267">
        <f>E19-$D$19</f>
        <v>0</v>
      </c>
    </row>
    <row r="24" spans="2:5" ht="20" customHeight="1" x14ac:dyDescent="0.35">
      <c r="B24" s="243" t="s">
        <v>266</v>
      </c>
      <c r="C24" s="230" t="s">
        <v>17</v>
      </c>
      <c r="D24" s="232"/>
      <c r="E24" s="147">
        <f>ROUND('Sustainable Kerbside Model'!C95,-3)</f>
        <v>0</v>
      </c>
    </row>
    <row r="25" spans="2:5" ht="20" customHeight="1" x14ac:dyDescent="0.35">
      <c r="B25" s="239" t="s">
        <v>267</v>
      </c>
      <c r="C25" s="240" t="s">
        <v>17</v>
      </c>
      <c r="D25" s="232"/>
      <c r="E25" s="266">
        <f>(E19-E24)-D19</f>
        <v>0</v>
      </c>
    </row>
    <row r="26" spans="2:5" ht="20" customHeight="1" x14ac:dyDescent="0.35">
      <c r="B26" s="243" t="s">
        <v>199</v>
      </c>
      <c r="C26" s="230" t="s">
        <v>5</v>
      </c>
      <c r="D26" s="234"/>
      <c r="E26" s="148" t="str">
        <f>IFERROR(E25/$D$19,"")</f>
        <v/>
      </c>
    </row>
    <row r="27" spans="2:5" ht="20" customHeight="1" x14ac:dyDescent="0.35">
      <c r="B27" s="243" t="s">
        <v>198</v>
      </c>
      <c r="C27" s="230" t="s">
        <v>151</v>
      </c>
      <c r="D27" s="235"/>
      <c r="E27" s="149" t="str">
        <f>IFERROR(E25/'Inputs &amp; Values'!$C$6,"")</f>
        <v/>
      </c>
    </row>
    <row r="28" spans="2:5" x14ac:dyDescent="0.35"/>
    <row r="29" spans="2:5" ht="17.5" x14ac:dyDescent="0.35">
      <c r="B29" s="252" t="s">
        <v>200</v>
      </c>
      <c r="C29" s="253"/>
      <c r="D29" s="254"/>
      <c r="E29" s="253"/>
    </row>
    <row r="30" spans="2:5" ht="20" customHeight="1" x14ac:dyDescent="0.35">
      <c r="B30" s="243" t="s">
        <v>242</v>
      </c>
      <c r="C30" s="230" t="s">
        <v>123</v>
      </c>
      <c r="D30" s="236"/>
      <c r="E30" s="146" t="str">
        <f>IFERROR(SUM('Sustainable Kerbside Model'!C74,'Sustainable Kerbside Model'!C85,'Sustainable Kerbside Model'!C86,'Sustainable Kerbside Model'!C87)/'Sustainable Kerbside Model'!C8,"")</f>
        <v/>
      </c>
    </row>
    <row r="31" spans="2:5" ht="20" customHeight="1" x14ac:dyDescent="0.35">
      <c r="B31" s="243" t="s">
        <v>314</v>
      </c>
      <c r="C31" s="230" t="s">
        <v>123</v>
      </c>
      <c r="D31" s="236"/>
      <c r="E31" s="146" t="str">
        <f>IFERROR(SUM('Sustainable Kerbside Model'!C78,'Sustainable Kerbside Model'!C89,'Sustainable Kerbside Model'!C90,'Sustainable Kerbside Model'!C91)/'Sustainable Kerbside Model'!C12,"")</f>
        <v/>
      </c>
    </row>
    <row r="32" spans="2:5" x14ac:dyDescent="0.35">
      <c r="B32" s="246"/>
      <c r="C32" s="227"/>
      <c r="D32" s="209"/>
      <c r="E32" s="150"/>
    </row>
    <row r="33" spans="2:5" x14ac:dyDescent="0.35">
      <c r="B33" s="246"/>
      <c r="C33" s="227"/>
      <c r="D33" s="209"/>
      <c r="E33" s="150"/>
    </row>
    <row r="34" spans="2:5" ht="19" customHeight="1" x14ac:dyDescent="0.35">
      <c r="B34" s="228" t="s">
        <v>82</v>
      </c>
      <c r="C34" s="238"/>
      <c r="D34" s="245"/>
      <c r="E34" s="238"/>
    </row>
    <row r="35" spans="2:5" ht="18.5" customHeight="1" x14ac:dyDescent="0.35">
      <c r="B35" s="13" t="s">
        <v>168</v>
      </c>
      <c r="C35" s="181" t="s">
        <v>112</v>
      </c>
      <c r="D35" s="233"/>
      <c r="E35" s="146">
        <f>ROUND('Sustainable Kerbside Model'!C101,-2)</f>
        <v>0</v>
      </c>
    </row>
    <row r="36" spans="2:5" ht="18.5" customHeight="1" x14ac:dyDescent="0.35">
      <c r="B36" s="13" t="s">
        <v>193</v>
      </c>
      <c r="C36" s="181" t="s">
        <v>112</v>
      </c>
      <c r="D36" s="233"/>
      <c r="E36" s="146">
        <f>ROUND('Sustainable Kerbside Model'!C102,-2)</f>
        <v>0</v>
      </c>
    </row>
    <row r="37" spans="2:5" ht="18.5" customHeight="1" x14ac:dyDescent="0.35">
      <c r="B37" s="13" t="s">
        <v>192</v>
      </c>
      <c r="C37" s="181" t="s">
        <v>112</v>
      </c>
      <c r="D37" s="233"/>
      <c r="E37" s="146">
        <f>ROUND('Sustainable Kerbside Model'!C103,-2)</f>
        <v>0</v>
      </c>
    </row>
    <row r="38" spans="2:5" ht="18.5" customHeight="1" x14ac:dyDescent="0.35">
      <c r="B38" s="13" t="s">
        <v>83</v>
      </c>
      <c r="C38" s="181" t="s">
        <v>112</v>
      </c>
      <c r="D38" s="233"/>
      <c r="E38" s="146">
        <f>ROUND('Sustainable Kerbside Model'!C106,-2)</f>
        <v>0</v>
      </c>
    </row>
    <row r="39" spans="2:5" ht="18.5" customHeight="1" x14ac:dyDescent="0.35">
      <c r="B39" s="13" t="s">
        <v>84</v>
      </c>
      <c r="C39" s="181" t="s">
        <v>112</v>
      </c>
      <c r="D39" s="233"/>
      <c r="E39" s="146">
        <f>ROUND('Sustainable Kerbside Model'!C107,-2)</f>
        <v>0</v>
      </c>
    </row>
    <row r="40" spans="2:5" ht="18.5" customHeight="1" x14ac:dyDescent="0.35">
      <c r="B40" s="13" t="s">
        <v>85</v>
      </c>
      <c r="C40" s="181" t="s">
        <v>112</v>
      </c>
      <c r="D40" s="233"/>
      <c r="E40" s="146">
        <f>ROUND('Sustainable Kerbside Model'!C108,-2)</f>
        <v>0</v>
      </c>
    </row>
    <row r="41" spans="2:5" ht="18.5" customHeight="1" x14ac:dyDescent="0.35">
      <c r="B41" s="89" t="s">
        <v>86</v>
      </c>
      <c r="C41" s="183" t="s">
        <v>112</v>
      </c>
      <c r="D41" s="233"/>
      <c r="E41" s="146">
        <f>ROUND('Sustainable Kerbside Model'!C109,-2)</f>
        <v>0</v>
      </c>
    </row>
    <row r="42" spans="2:5" ht="18.5" customHeight="1" x14ac:dyDescent="0.35">
      <c r="B42" s="89" t="s">
        <v>203</v>
      </c>
      <c r="C42" s="183" t="s">
        <v>112</v>
      </c>
      <c r="D42" s="233"/>
      <c r="E42" s="146">
        <f>'Sustainable Kerbside Model'!C110</f>
        <v>0</v>
      </c>
    </row>
    <row r="43" spans="2:5" ht="18.5" customHeight="1" x14ac:dyDescent="0.35">
      <c r="B43" s="255" t="s">
        <v>231</v>
      </c>
      <c r="C43" s="256" t="s">
        <v>112</v>
      </c>
      <c r="D43" s="233"/>
      <c r="E43" s="201">
        <f>SUM(E35:E37)</f>
        <v>0</v>
      </c>
    </row>
    <row r="44" spans="2:5" ht="18.5" customHeight="1" x14ac:dyDescent="0.35">
      <c r="B44" s="255" t="s">
        <v>232</v>
      </c>
      <c r="C44" s="256" t="s">
        <v>112</v>
      </c>
      <c r="D44" s="233"/>
      <c r="E44" s="201">
        <f>SUM(E38:E42)</f>
        <v>0</v>
      </c>
    </row>
    <row r="45" spans="2:5" ht="18.5" customHeight="1" x14ac:dyDescent="0.35">
      <c r="B45" s="94" t="s">
        <v>113</v>
      </c>
      <c r="C45" s="206" t="s">
        <v>112</v>
      </c>
      <c r="D45" s="257"/>
      <c r="E45" s="309">
        <f>SUM(E43:E44)</f>
        <v>0</v>
      </c>
    </row>
    <row r="46" spans="2:5" ht="12.5" customHeight="1" x14ac:dyDescent="0.35">
      <c r="B46" s="264"/>
      <c r="C46" s="265"/>
      <c r="D46" s="257"/>
      <c r="E46" s="310"/>
    </row>
    <row r="47" spans="2:5" ht="18.5" customHeight="1" x14ac:dyDescent="0.35">
      <c r="B47" s="94" t="s">
        <v>124</v>
      </c>
      <c r="C47" s="206" t="s">
        <v>123</v>
      </c>
      <c r="D47" s="257"/>
      <c r="E47" s="311" t="str">
        <f>IFERROR(E45/'Inputs &amp; Values'!C6,"")</f>
        <v/>
      </c>
    </row>
    <row r="48" spans="2:5" ht="18.5" customHeight="1" x14ac:dyDescent="0.35">
      <c r="B48" s="94" t="s">
        <v>310</v>
      </c>
      <c r="C48" s="206" t="s">
        <v>202</v>
      </c>
      <c r="D48" s="257"/>
      <c r="E48" s="258" t="str">
        <f>IFERROR(E45/-E23,"")</f>
        <v/>
      </c>
    </row>
    <row r="49" spans="2:5" x14ac:dyDescent="0.35">
      <c r="E49" s="247"/>
    </row>
    <row r="50" spans="2:5" x14ac:dyDescent="0.35">
      <c r="E50" s="247"/>
    </row>
    <row r="51" spans="2:5" ht="19" customHeight="1" x14ac:dyDescent="0.35">
      <c r="B51" s="228" t="s">
        <v>187</v>
      </c>
      <c r="C51" s="238"/>
      <c r="D51" s="238"/>
      <c r="E51" s="238"/>
    </row>
    <row r="52" spans="2:5" ht="18.5" customHeight="1" x14ac:dyDescent="0.35">
      <c r="B52" s="13" t="s">
        <v>214</v>
      </c>
      <c r="C52" s="212" t="s">
        <v>320</v>
      </c>
      <c r="D52" s="233"/>
      <c r="E52" s="170">
        <f>ROUND('Sustainable Kerbside Model'!C119,-1)</f>
        <v>0</v>
      </c>
    </row>
    <row r="53" spans="2:5" ht="18.5" customHeight="1" x14ac:dyDescent="0.35">
      <c r="B53" s="13" t="s">
        <v>103</v>
      </c>
      <c r="C53" s="229" t="s">
        <v>318</v>
      </c>
      <c r="D53" s="233"/>
      <c r="E53" s="170">
        <f>ROUND('Sustainable Kerbside Model'!C120,-1)</f>
        <v>0</v>
      </c>
    </row>
    <row r="54" spans="2:5" ht="18.5" customHeight="1" x14ac:dyDescent="0.35">
      <c r="B54" s="13" t="s">
        <v>104</v>
      </c>
      <c r="C54" s="229" t="s">
        <v>319</v>
      </c>
      <c r="D54" s="233"/>
      <c r="E54" s="170">
        <f>ROUND('Sustainable Kerbside Model'!C121,-1)</f>
        <v>0</v>
      </c>
    </row>
    <row r="55" spans="2:5" ht="18.5" customHeight="1" x14ac:dyDescent="0.35">
      <c r="B55" s="13" t="s">
        <v>201</v>
      </c>
      <c r="C55" s="212" t="s">
        <v>17</v>
      </c>
      <c r="D55" s="233"/>
      <c r="E55" s="146">
        <f>ROUND('Sustainable Kerbside Model'!C122,-3)</f>
        <v>0</v>
      </c>
    </row>
    <row r="56" spans="2:5" ht="18.5" customHeight="1" x14ac:dyDescent="0.35">
      <c r="B56" s="13" t="s">
        <v>107</v>
      </c>
      <c r="C56" s="212" t="s">
        <v>17</v>
      </c>
      <c r="D56" s="233"/>
      <c r="E56" s="146">
        <f>ROUND('Sustainable Kerbside Model'!C123,-3)</f>
        <v>0</v>
      </c>
    </row>
    <row r="57" spans="2:5" ht="18.5" customHeight="1" x14ac:dyDescent="0.35">
      <c r="B57" s="13" t="s">
        <v>188</v>
      </c>
      <c r="C57" s="212" t="s">
        <v>17</v>
      </c>
      <c r="D57" s="233"/>
      <c r="E57" s="146">
        <f>ROUND('Sustainable Kerbside Model'!C124,-3)</f>
        <v>0</v>
      </c>
    </row>
    <row r="58" spans="2:5" ht="18.5" customHeight="1" x14ac:dyDescent="0.35">
      <c r="B58" s="13" t="s">
        <v>25</v>
      </c>
      <c r="C58" s="212" t="s">
        <v>317</v>
      </c>
      <c r="D58" s="233"/>
      <c r="E58" s="248">
        <f>'Sustainable Kerbside Model'!C125</f>
        <v>0</v>
      </c>
    </row>
    <row r="59" spans="2:5" x14ac:dyDescent="0.35"/>
    <row r="60" spans="2:5" x14ac:dyDescent="0.35">
      <c r="E60" s="214"/>
    </row>
  </sheetData>
  <sheetProtection algorithmName="SHA-512" hashValue="nrpn0GEnJzVLp00wGFFCCp/sjto72b9+zaLRUXmpsRgkVcUBox1WQY563zVOZ2DQ7lB1MtEWXhTHTyp5q8FwqQ==" saltValue="kSOxOk80lVe18kTwd3lhQw==" spinCount="100000" sheet="1" objects="1" scenarios="1"/>
  <conditionalFormatting sqref="D23">
    <cfRule type="cellIs" dxfId="15" priority="51" operator="lessThan">
      <formula>0</formula>
    </cfRule>
    <cfRule type="cellIs" dxfId="14" priority="52" operator="greaterThan">
      <formula>0</formula>
    </cfRule>
  </conditionalFormatting>
  <conditionalFormatting sqref="D24:D25">
    <cfRule type="cellIs" dxfId="13" priority="9" operator="lessThan">
      <formula>0</formula>
    </cfRule>
    <cfRule type="cellIs" dxfId="12" priority="10" operator="greaterThan">
      <formula>0</formula>
    </cfRule>
  </conditionalFormatting>
  <conditionalFormatting sqref="D35:D58">
    <cfRule type="cellIs" dxfId="11" priority="13" operator="lessThan">
      <formula>0</formula>
    </cfRule>
    <cfRule type="cellIs" dxfId="10" priority="14" operator="greaterThan">
      <formula>0</formula>
    </cfRule>
  </conditionalFormatting>
  <conditionalFormatting sqref="D9:E11">
    <cfRule type="cellIs" dxfId="9" priority="12" operator="equal">
      <formula>0</formula>
    </cfRule>
  </conditionalFormatting>
  <conditionalFormatting sqref="D21:E23 D25:E27">
    <cfRule type="cellIs" dxfId="8" priority="21" operator="lessThan">
      <formula>0</formula>
    </cfRule>
    <cfRule type="cellIs" dxfId="7" priority="22" operator="greaterThan">
      <formula>0</formula>
    </cfRule>
  </conditionalFormatting>
  <conditionalFormatting sqref="E23">
    <cfRule type="cellIs" dxfId="6" priority="5" operator="lessThan">
      <formula>0</formula>
    </cfRule>
    <cfRule type="cellIs" dxfId="5" priority="6" operator="greaterThan">
      <formula>0</formula>
    </cfRule>
  </conditionalFormatting>
  <conditionalFormatting sqref="E25">
    <cfRule type="cellIs" dxfId="4" priority="7" operator="lessThan">
      <formula>0</formula>
    </cfRule>
    <cfRule type="cellIs" dxfId="3" priority="8" operator="greaterThan">
      <formula>0</formula>
    </cfRule>
  </conditionalFormatting>
  <conditionalFormatting sqref="E32:E47">
    <cfRule type="cellIs" dxfId="2" priority="1" operator="lessThan">
      <formula>0</formula>
    </cfRule>
    <cfRule type="cellIs" dxfId="1" priority="2" operator="greaterThan">
      <formula>0</formula>
    </cfRule>
  </conditionalFormatting>
  <conditionalFormatting sqref="E52:E54 E58">
    <cfRule type="cellIs" dxfId="0" priority="11" operator="equal">
      <formula>0</formula>
    </cfRule>
  </conditionalFormatting>
  <pageMargins left="0.7" right="0.7" top="0.75" bottom="0.75" header="0.3" footer="0.3"/>
  <pageSetup paperSize="9" orientation="portrait" r:id="rId1"/>
  <ignoredErrors>
    <ignoredError sqref="D12 D51:E51 E12 E58 D21:E22 D20 D16:E16 D32:E34 D28:E28 D26:D27 D30 D14 D8:E8 E45 E48 E47 D29:E29 D2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A771F-B6CF-4C9F-839E-5210D3D286C2}">
  <sheetPr>
    <tabColor rgb="FF1D5C7A"/>
  </sheetPr>
  <dimension ref="B1:V294"/>
  <sheetViews>
    <sheetView workbookViewId="0"/>
  </sheetViews>
  <sheetFormatPr defaultColWidth="9.08984375" defaultRowHeight="14" x14ac:dyDescent="0.35"/>
  <cols>
    <col min="1" max="1" width="4.90625" style="34" customWidth="1"/>
    <col min="2" max="2" width="61.7265625" style="41" customWidth="1"/>
    <col min="3" max="4" width="20" style="37" customWidth="1"/>
    <col min="5" max="5" width="21" style="37" customWidth="1"/>
    <col min="6" max="6" width="93.08984375" style="37" bestFit="1" customWidth="1"/>
    <col min="7" max="7" width="20.36328125" style="37" bestFit="1" customWidth="1"/>
    <col min="8" max="9" width="15.08984375" style="51" customWidth="1"/>
    <col min="10" max="10" width="16.90625" style="51" bestFit="1" customWidth="1"/>
    <col min="11" max="11" width="21.26953125" style="51" bestFit="1" customWidth="1"/>
    <col min="12" max="12" width="15.08984375" style="49" customWidth="1"/>
    <col min="13" max="13" width="23.7265625" style="50" bestFit="1" customWidth="1"/>
    <col min="14" max="22" width="16.453125" style="34" customWidth="1"/>
    <col min="23" max="23" width="27.90625" style="34" customWidth="1"/>
    <col min="24" max="16384" width="9.08984375" style="34"/>
  </cols>
  <sheetData>
    <row r="1" spans="2:22" ht="48.5" customHeight="1" x14ac:dyDescent="0.35">
      <c r="B1" s="26" t="s">
        <v>158</v>
      </c>
      <c r="C1" s="74"/>
      <c r="D1" s="74"/>
      <c r="E1" s="74"/>
      <c r="F1" s="74"/>
      <c r="G1" s="38"/>
      <c r="H1" s="65"/>
    </row>
    <row r="2" spans="2:22" ht="32" customHeight="1" x14ac:dyDescent="0.35">
      <c r="B2" s="328" t="s">
        <v>119</v>
      </c>
      <c r="C2" s="328"/>
      <c r="D2" s="328"/>
      <c r="E2" s="328"/>
      <c r="F2" s="328"/>
      <c r="G2" s="38"/>
      <c r="H2" s="65"/>
    </row>
    <row r="3" spans="2:22" x14ac:dyDescent="0.35">
      <c r="B3" s="75"/>
      <c r="C3" s="35"/>
      <c r="D3" s="34"/>
      <c r="E3" s="36"/>
      <c r="F3" s="36"/>
    </row>
    <row r="4" spans="2:22" ht="30.75" customHeight="1" x14ac:dyDescent="0.35">
      <c r="B4" s="129" t="s">
        <v>161</v>
      </c>
      <c r="C4" s="130" t="s">
        <v>68</v>
      </c>
      <c r="D4" s="130" t="s">
        <v>1</v>
      </c>
      <c r="E4" s="130" t="s">
        <v>19</v>
      </c>
      <c r="F4" s="130" t="s">
        <v>18</v>
      </c>
      <c r="G4" s="34"/>
    </row>
    <row r="5" spans="2:22" s="51" customFormat="1" ht="22" customHeight="1" x14ac:dyDescent="0.35">
      <c r="B5" s="76" t="s">
        <v>136</v>
      </c>
      <c r="C5" s="22"/>
      <c r="D5" s="23"/>
      <c r="E5" s="24"/>
      <c r="F5" s="77"/>
      <c r="G5" s="34"/>
      <c r="L5" s="49"/>
      <c r="M5" s="50"/>
      <c r="N5" s="34"/>
      <c r="O5" s="34"/>
      <c r="P5" s="34"/>
      <c r="Q5" s="34"/>
      <c r="R5" s="34"/>
      <c r="S5" s="34"/>
      <c r="T5" s="34"/>
      <c r="U5" s="34"/>
      <c r="V5" s="34"/>
    </row>
    <row r="6" spans="2:22" ht="18" customHeight="1" x14ac:dyDescent="0.35">
      <c r="B6" s="13" t="s">
        <v>12</v>
      </c>
      <c r="C6" s="1" t="e">
        <f>#REF!</f>
        <v>#REF!</v>
      </c>
      <c r="D6" s="11" t="s">
        <v>4</v>
      </c>
      <c r="E6" s="12" t="s">
        <v>28</v>
      </c>
      <c r="F6" s="79"/>
      <c r="G6" s="34"/>
    </row>
    <row r="7" spans="2:22" ht="18" customHeight="1" x14ac:dyDescent="0.35">
      <c r="B7" s="13" t="s">
        <v>13</v>
      </c>
      <c r="C7" s="1" t="e">
        <f>#REF!</f>
        <v>#REF!</v>
      </c>
      <c r="D7" s="11" t="s">
        <v>4</v>
      </c>
      <c r="E7" s="12" t="s">
        <v>28</v>
      </c>
      <c r="F7" s="79"/>
      <c r="G7" s="34"/>
    </row>
    <row r="8" spans="2:22" ht="18" customHeight="1" x14ac:dyDescent="0.35">
      <c r="B8" s="13" t="s">
        <v>15</v>
      </c>
      <c r="C8" s="1" t="e">
        <f>#REF!</f>
        <v>#REF!</v>
      </c>
      <c r="D8" s="11" t="s">
        <v>4</v>
      </c>
      <c r="E8" s="12" t="s">
        <v>28</v>
      </c>
      <c r="F8" s="79"/>
      <c r="G8" s="34"/>
    </row>
    <row r="9" spans="2:22" ht="11" customHeight="1" x14ac:dyDescent="0.35">
      <c r="B9" s="34"/>
      <c r="C9" s="34"/>
      <c r="D9" s="34"/>
      <c r="E9" s="34"/>
      <c r="F9" s="34"/>
      <c r="G9" s="34"/>
    </row>
    <row r="10" spans="2:22" s="51" customFormat="1" ht="22" customHeight="1" x14ac:dyDescent="0.35">
      <c r="B10" s="76" t="s">
        <v>163</v>
      </c>
      <c r="C10" s="22"/>
      <c r="D10" s="23"/>
      <c r="E10" s="24"/>
      <c r="F10" s="77"/>
      <c r="G10" s="34"/>
      <c r="L10" s="49"/>
      <c r="M10" s="50"/>
      <c r="N10" s="34"/>
      <c r="O10" s="34"/>
      <c r="P10" s="34"/>
      <c r="Q10" s="34"/>
      <c r="R10" s="34"/>
      <c r="S10" s="34"/>
      <c r="T10" s="34"/>
      <c r="U10" s="34"/>
      <c r="V10" s="34"/>
    </row>
    <row r="11" spans="2:22" ht="18" customHeight="1" x14ac:dyDescent="0.35">
      <c r="B11" s="46" t="s">
        <v>190</v>
      </c>
      <c r="C11" s="45"/>
      <c r="D11" s="43"/>
      <c r="E11" s="44"/>
      <c r="F11" s="78"/>
      <c r="G11" s="34"/>
    </row>
    <row r="12" spans="2:22" ht="18" customHeight="1" x14ac:dyDescent="0.35">
      <c r="B12" s="13" t="s">
        <v>12</v>
      </c>
      <c r="C12" s="1">
        <v>26</v>
      </c>
      <c r="D12" s="11" t="s">
        <v>114</v>
      </c>
      <c r="E12" s="12" t="s">
        <v>20</v>
      </c>
      <c r="F12" s="79"/>
      <c r="G12" s="34"/>
    </row>
    <row r="13" spans="2:22" ht="18" customHeight="1" x14ac:dyDescent="0.35">
      <c r="B13" s="13" t="s">
        <v>13</v>
      </c>
      <c r="C13" s="1">
        <v>26</v>
      </c>
      <c r="D13" s="11" t="s">
        <v>114</v>
      </c>
      <c r="E13" s="12" t="s">
        <v>20</v>
      </c>
      <c r="F13" s="79"/>
      <c r="G13" s="34"/>
    </row>
    <row r="14" spans="2:22" ht="18" customHeight="1" x14ac:dyDescent="0.35">
      <c r="B14" s="13" t="s">
        <v>15</v>
      </c>
      <c r="C14" s="1">
        <v>52</v>
      </c>
      <c r="D14" s="11" t="s">
        <v>114</v>
      </c>
      <c r="E14" s="12" t="s">
        <v>20</v>
      </c>
      <c r="F14" s="79"/>
      <c r="G14" s="34"/>
    </row>
    <row r="15" spans="2:22" ht="18" customHeight="1" x14ac:dyDescent="0.35">
      <c r="B15" s="46" t="s">
        <v>189</v>
      </c>
      <c r="C15" s="45"/>
      <c r="D15" s="43"/>
      <c r="E15" s="44"/>
      <c r="F15" s="78"/>
      <c r="G15" s="34"/>
    </row>
    <row r="16" spans="2:22" ht="18" customHeight="1" x14ac:dyDescent="0.35">
      <c r="B16" s="13" t="s">
        <v>12</v>
      </c>
      <c r="C16" s="1">
        <v>52</v>
      </c>
      <c r="D16" s="11" t="s">
        <v>114</v>
      </c>
      <c r="E16" s="12" t="s">
        <v>20</v>
      </c>
      <c r="F16" s="79"/>
      <c r="G16" s="34"/>
    </row>
    <row r="17" spans="2:22" ht="18" customHeight="1" x14ac:dyDescent="0.35">
      <c r="B17" s="13" t="s">
        <v>13</v>
      </c>
      <c r="C17" s="1">
        <v>26</v>
      </c>
      <c r="D17" s="11" t="s">
        <v>114</v>
      </c>
      <c r="E17" s="12" t="s">
        <v>20</v>
      </c>
      <c r="F17" s="79"/>
      <c r="G17" s="34"/>
    </row>
    <row r="18" spans="2:22" ht="18" customHeight="1" x14ac:dyDescent="0.35">
      <c r="B18" s="13" t="s">
        <v>15</v>
      </c>
      <c r="C18" s="1">
        <v>26</v>
      </c>
      <c r="D18" s="11" t="s">
        <v>114</v>
      </c>
      <c r="E18" s="12" t="s">
        <v>20</v>
      </c>
      <c r="F18" s="79"/>
      <c r="G18" s="34"/>
    </row>
    <row r="19" spans="2:22" ht="11" customHeight="1" x14ac:dyDescent="0.35">
      <c r="B19" s="34"/>
      <c r="C19" s="34"/>
      <c r="D19" s="34"/>
      <c r="E19" s="34"/>
      <c r="F19" s="34"/>
      <c r="G19" s="34"/>
    </row>
    <row r="20" spans="2:22" s="51" customFormat="1" ht="22" customHeight="1" x14ac:dyDescent="0.35">
      <c r="B20" s="76" t="s">
        <v>162</v>
      </c>
      <c r="C20" s="22"/>
      <c r="D20" s="23"/>
      <c r="E20" s="24"/>
      <c r="F20" s="77"/>
      <c r="G20" s="34"/>
      <c r="L20" s="49"/>
      <c r="M20" s="50"/>
      <c r="N20" s="34"/>
      <c r="O20" s="34"/>
      <c r="P20" s="34"/>
      <c r="Q20" s="34"/>
      <c r="R20" s="34"/>
      <c r="S20" s="34"/>
      <c r="T20" s="34"/>
      <c r="U20" s="34"/>
      <c r="V20" s="34"/>
    </row>
    <row r="21" spans="2:22" ht="18" customHeight="1" x14ac:dyDescent="0.35">
      <c r="B21" s="13" t="s">
        <v>182</v>
      </c>
      <c r="C21" s="9">
        <v>0.95</v>
      </c>
      <c r="D21" s="11" t="s">
        <v>5</v>
      </c>
      <c r="E21" s="12" t="s">
        <v>21</v>
      </c>
      <c r="F21" s="79"/>
      <c r="G21" s="34"/>
    </row>
    <row r="22" spans="2:22" ht="18" customHeight="1" x14ac:dyDescent="0.35">
      <c r="B22" s="13" t="s">
        <v>183</v>
      </c>
      <c r="C22" s="9">
        <f>1-C21</f>
        <v>5.0000000000000044E-2</v>
      </c>
      <c r="D22" s="11" t="s">
        <v>5</v>
      </c>
      <c r="E22" s="12" t="s">
        <v>20</v>
      </c>
      <c r="F22" s="79" t="s">
        <v>184</v>
      </c>
      <c r="G22" s="34"/>
    </row>
    <row r="23" spans="2:22" ht="11" customHeight="1" x14ac:dyDescent="0.35">
      <c r="B23" s="34"/>
      <c r="C23" s="34"/>
      <c r="D23" s="34"/>
      <c r="E23" s="34"/>
      <c r="F23" s="34"/>
      <c r="G23" s="34"/>
    </row>
    <row r="24" spans="2:22" s="51" customFormat="1" ht="22" customHeight="1" x14ac:dyDescent="0.35">
      <c r="B24" s="76" t="s">
        <v>164</v>
      </c>
      <c r="C24" s="22"/>
      <c r="D24" s="23"/>
      <c r="E24" s="24"/>
      <c r="F24" s="77"/>
      <c r="G24" s="34"/>
      <c r="L24" s="49"/>
      <c r="M24" s="50"/>
      <c r="N24" s="34"/>
      <c r="O24" s="34"/>
      <c r="P24" s="34"/>
      <c r="Q24" s="34"/>
      <c r="R24" s="34"/>
      <c r="S24" s="34"/>
      <c r="T24" s="34"/>
      <c r="U24" s="34"/>
      <c r="V24" s="34"/>
    </row>
    <row r="25" spans="2:22" ht="18" customHeight="1" x14ac:dyDescent="0.35">
      <c r="B25" s="46" t="str">
        <f>B11</f>
        <v>Residents on Weekly FOGO (sustainable service)</v>
      </c>
      <c r="C25" s="42" t="s">
        <v>4</v>
      </c>
      <c r="D25" s="43"/>
      <c r="E25" s="44"/>
      <c r="F25" s="78"/>
      <c r="G25" s="34"/>
    </row>
    <row r="26" spans="2:22" ht="18" customHeight="1" x14ac:dyDescent="0.35">
      <c r="B26" s="13" t="s">
        <v>12</v>
      </c>
      <c r="C26" s="1" t="e">
        <f>C6*$C$21</f>
        <v>#REF!</v>
      </c>
      <c r="D26" s="11" t="s">
        <v>4</v>
      </c>
      <c r="E26" s="12" t="s">
        <v>20</v>
      </c>
      <c r="F26" s="79"/>
      <c r="G26" s="34"/>
    </row>
    <row r="27" spans="2:22" ht="18" customHeight="1" x14ac:dyDescent="0.35">
      <c r="B27" s="13" t="s">
        <v>13</v>
      </c>
      <c r="C27" s="1" t="e">
        <f>C7*$C$21</f>
        <v>#REF!</v>
      </c>
      <c r="D27" s="11" t="s">
        <v>4</v>
      </c>
      <c r="E27" s="12" t="s">
        <v>20</v>
      </c>
      <c r="F27" s="79"/>
      <c r="G27" s="34"/>
    </row>
    <row r="28" spans="2:22" ht="18" customHeight="1" x14ac:dyDescent="0.35">
      <c r="B28" s="13" t="s">
        <v>15</v>
      </c>
      <c r="C28" s="1" t="e">
        <f>C8*$C$21</f>
        <v>#REF!</v>
      </c>
      <c r="D28" s="11" t="s">
        <v>4</v>
      </c>
      <c r="E28" s="12" t="s">
        <v>20</v>
      </c>
      <c r="F28" s="79"/>
      <c r="G28" s="34"/>
    </row>
    <row r="29" spans="2:22" ht="18" customHeight="1" x14ac:dyDescent="0.35">
      <c r="B29" s="46" t="str">
        <f>B15</f>
        <v>Residents on Weekly GW (old service)</v>
      </c>
      <c r="C29" s="42" t="s">
        <v>4</v>
      </c>
      <c r="D29" s="43"/>
      <c r="E29" s="44"/>
      <c r="F29" s="78"/>
      <c r="G29" s="34"/>
    </row>
    <row r="30" spans="2:22" ht="18" customHeight="1" x14ac:dyDescent="0.35">
      <c r="B30" s="13" t="s">
        <v>12</v>
      </c>
      <c r="C30" s="1" t="e">
        <f>C6*$C$22</f>
        <v>#REF!</v>
      </c>
      <c r="D30" s="11" t="s">
        <v>4</v>
      </c>
      <c r="E30" s="12" t="s">
        <v>20</v>
      </c>
      <c r="F30" s="79"/>
      <c r="G30" s="34"/>
    </row>
    <row r="31" spans="2:22" ht="18" customHeight="1" x14ac:dyDescent="0.35">
      <c r="B31" s="13" t="s">
        <v>13</v>
      </c>
      <c r="C31" s="1" t="e">
        <f>C7*$C$22</f>
        <v>#REF!</v>
      </c>
      <c r="D31" s="11" t="s">
        <v>4</v>
      </c>
      <c r="E31" s="12" t="s">
        <v>20</v>
      </c>
      <c r="F31" s="79"/>
      <c r="G31" s="34"/>
    </row>
    <row r="32" spans="2:22" ht="18" customHeight="1" x14ac:dyDescent="0.35">
      <c r="B32" s="13" t="s">
        <v>15</v>
      </c>
      <c r="C32" s="1" t="e">
        <f>C8*$C$22</f>
        <v>#REF!</v>
      </c>
      <c r="D32" s="11" t="s">
        <v>4</v>
      </c>
      <c r="E32" s="12" t="s">
        <v>20</v>
      </c>
      <c r="F32" s="79"/>
      <c r="G32" s="34"/>
    </row>
    <row r="33" spans="2:22" ht="11" customHeight="1" x14ac:dyDescent="0.35">
      <c r="B33" s="34"/>
      <c r="C33" s="34"/>
      <c r="D33" s="34"/>
      <c r="E33" s="34"/>
      <c r="F33" s="34"/>
      <c r="G33" s="34"/>
    </row>
    <row r="34" spans="2:22" s="51" customFormat="1" ht="22" customHeight="1" x14ac:dyDescent="0.35">
      <c r="B34" s="76" t="s">
        <v>165</v>
      </c>
      <c r="C34" s="22"/>
      <c r="D34" s="23"/>
      <c r="E34" s="24"/>
      <c r="F34" s="77"/>
      <c r="G34" s="34"/>
      <c r="L34" s="49"/>
      <c r="M34" s="50"/>
      <c r="N34" s="34"/>
      <c r="O34" s="34"/>
      <c r="P34" s="34"/>
      <c r="Q34" s="34"/>
      <c r="R34" s="34"/>
      <c r="S34" s="34"/>
      <c r="T34" s="34"/>
      <c r="U34" s="34"/>
      <c r="V34" s="34"/>
    </row>
    <row r="35" spans="2:22" ht="18" customHeight="1" x14ac:dyDescent="0.35">
      <c r="B35" s="32" t="str">
        <f>B11</f>
        <v>Residents on Weekly FOGO (sustainable service)</v>
      </c>
      <c r="C35" s="17" t="s">
        <v>135</v>
      </c>
      <c r="D35" s="18" t="s">
        <v>46</v>
      </c>
      <c r="E35" s="19" t="s">
        <v>20</v>
      </c>
      <c r="F35" s="80"/>
      <c r="G35" s="34"/>
    </row>
    <row r="36" spans="2:22" ht="18" customHeight="1" x14ac:dyDescent="0.35">
      <c r="B36" s="13" t="s">
        <v>12</v>
      </c>
      <c r="C36" s="1" t="e">
        <f>C26*C12</f>
        <v>#REF!</v>
      </c>
      <c r="D36" s="11" t="s">
        <v>46</v>
      </c>
      <c r="E36" s="12" t="s">
        <v>20</v>
      </c>
      <c r="F36" s="79"/>
      <c r="G36" s="34"/>
    </row>
    <row r="37" spans="2:22" ht="18" customHeight="1" x14ac:dyDescent="0.35">
      <c r="B37" s="13" t="s">
        <v>13</v>
      </c>
      <c r="C37" s="1" t="e">
        <f>C27*C13</f>
        <v>#REF!</v>
      </c>
      <c r="D37" s="11" t="s">
        <v>46</v>
      </c>
      <c r="E37" s="12" t="s">
        <v>20</v>
      </c>
      <c r="F37" s="79"/>
      <c r="G37" s="34"/>
    </row>
    <row r="38" spans="2:22" ht="18" customHeight="1" x14ac:dyDescent="0.35">
      <c r="B38" s="13" t="s">
        <v>15</v>
      </c>
      <c r="C38" s="1" t="e">
        <f>C28*C14</f>
        <v>#REF!</v>
      </c>
      <c r="D38" s="11" t="s">
        <v>46</v>
      </c>
      <c r="E38" s="12" t="s">
        <v>20</v>
      </c>
      <c r="F38" s="79"/>
      <c r="G38" s="34"/>
    </row>
    <row r="39" spans="2:22" ht="18" customHeight="1" x14ac:dyDescent="0.35">
      <c r="B39" s="46" t="s">
        <v>135</v>
      </c>
      <c r="C39" s="42" t="e">
        <f>SUM(C36:C38)</f>
        <v>#REF!</v>
      </c>
      <c r="D39" s="43" t="s">
        <v>46</v>
      </c>
      <c r="E39" s="44" t="s">
        <v>20</v>
      </c>
      <c r="F39" s="78"/>
      <c r="G39" s="34"/>
    </row>
    <row r="40" spans="2:22" ht="18" customHeight="1" x14ac:dyDescent="0.35">
      <c r="B40" s="32" t="str">
        <f>B15</f>
        <v>Residents on Weekly GW (old service)</v>
      </c>
      <c r="C40" s="17"/>
      <c r="D40" s="18" t="s">
        <v>46</v>
      </c>
      <c r="E40" s="19" t="s">
        <v>20</v>
      </c>
      <c r="F40" s="80"/>
      <c r="G40" s="34"/>
    </row>
    <row r="41" spans="2:22" ht="18" customHeight="1" x14ac:dyDescent="0.35">
      <c r="B41" s="13" t="s">
        <v>12</v>
      </c>
      <c r="C41" s="1" t="e">
        <f>C30*C16</f>
        <v>#REF!</v>
      </c>
      <c r="D41" s="11" t="s">
        <v>46</v>
      </c>
      <c r="E41" s="12" t="s">
        <v>20</v>
      </c>
      <c r="F41" s="79"/>
      <c r="G41" s="34"/>
      <c r="H41" s="69" t="e">
        <f>C41/2</f>
        <v>#REF!</v>
      </c>
    </row>
    <row r="42" spans="2:22" ht="18" customHeight="1" x14ac:dyDescent="0.35">
      <c r="B42" s="13" t="s">
        <v>13</v>
      </c>
      <c r="C42" s="1" t="e">
        <f>C31*C17</f>
        <v>#REF!</v>
      </c>
      <c r="D42" s="11" t="s">
        <v>46</v>
      </c>
      <c r="E42" s="12" t="s">
        <v>20</v>
      </c>
      <c r="F42" s="79"/>
      <c r="G42" s="34"/>
    </row>
    <row r="43" spans="2:22" ht="18" customHeight="1" x14ac:dyDescent="0.35">
      <c r="B43" s="13" t="s">
        <v>15</v>
      </c>
      <c r="C43" s="1" t="e">
        <f>C32*C18</f>
        <v>#REF!</v>
      </c>
      <c r="D43" s="11" t="s">
        <v>46</v>
      </c>
      <c r="E43" s="12" t="s">
        <v>20</v>
      </c>
      <c r="F43" s="79"/>
      <c r="G43" s="34"/>
    </row>
    <row r="44" spans="2:22" ht="18" customHeight="1" x14ac:dyDescent="0.35">
      <c r="B44" s="46" t="s">
        <v>135</v>
      </c>
      <c r="C44" s="42" t="e">
        <f>SUM(C41:C43)</f>
        <v>#REF!</v>
      </c>
      <c r="D44" s="43" t="s">
        <v>46</v>
      </c>
      <c r="E44" s="44" t="s">
        <v>20</v>
      </c>
      <c r="F44" s="78"/>
      <c r="G44" s="34"/>
    </row>
    <row r="45" spans="2:22" ht="18" customHeight="1" x14ac:dyDescent="0.35">
      <c r="B45" s="94" t="s">
        <v>16</v>
      </c>
      <c r="C45" s="107" t="e">
        <f>SUM(C39,C44)</f>
        <v>#REF!</v>
      </c>
      <c r="D45" s="96" t="s">
        <v>46</v>
      </c>
      <c r="E45" s="117" t="s">
        <v>20</v>
      </c>
      <c r="F45" s="98"/>
      <c r="G45" s="34"/>
    </row>
    <row r="46" spans="2:22" ht="11" customHeight="1" x14ac:dyDescent="0.35">
      <c r="B46" s="34"/>
      <c r="C46" s="34"/>
      <c r="D46" s="34"/>
      <c r="E46" s="34"/>
      <c r="F46" s="34"/>
      <c r="G46" s="34"/>
    </row>
    <row r="47" spans="2:22" s="51" customFormat="1" ht="22" customHeight="1" x14ac:dyDescent="0.35">
      <c r="B47" s="76" t="s">
        <v>49</v>
      </c>
      <c r="C47" s="22"/>
      <c r="D47" s="23"/>
      <c r="E47" s="24"/>
      <c r="F47" s="77"/>
      <c r="G47" s="34"/>
      <c r="L47" s="49"/>
      <c r="M47" s="50"/>
      <c r="N47" s="34"/>
      <c r="O47" s="34"/>
      <c r="P47" s="34"/>
      <c r="Q47" s="34"/>
      <c r="R47" s="34"/>
      <c r="S47" s="34"/>
      <c r="T47" s="34"/>
      <c r="U47" s="34"/>
      <c r="V47" s="34"/>
    </row>
    <row r="48" spans="2:22" ht="18" customHeight="1" x14ac:dyDescent="0.35">
      <c r="B48" s="46" t="s">
        <v>133</v>
      </c>
      <c r="C48" s="42" t="e">
        <f>SUM(C49:C51)</f>
        <v>#REF!</v>
      </c>
      <c r="D48" s="43" t="s">
        <v>3</v>
      </c>
      <c r="E48" s="44" t="s">
        <v>20</v>
      </c>
      <c r="F48" s="78"/>
      <c r="G48" s="34"/>
    </row>
    <row r="49" spans="2:22" ht="18" customHeight="1" x14ac:dyDescent="0.35">
      <c r="B49" s="13" t="s">
        <v>12</v>
      </c>
      <c r="C49" s="1" t="e">
        <f>#REF!</f>
        <v>#REF!</v>
      </c>
      <c r="D49" s="2" t="s">
        <v>3</v>
      </c>
      <c r="E49" s="6"/>
      <c r="F49" s="79"/>
      <c r="G49" s="34"/>
    </row>
    <row r="50" spans="2:22" ht="18" customHeight="1" x14ac:dyDescent="0.35">
      <c r="B50" s="13" t="s">
        <v>13</v>
      </c>
      <c r="C50" s="1" t="e">
        <f>#REF!</f>
        <v>#REF!</v>
      </c>
      <c r="D50" s="2" t="s">
        <v>3</v>
      </c>
      <c r="E50" s="6"/>
      <c r="F50" s="79"/>
      <c r="G50" s="34"/>
    </row>
    <row r="51" spans="2:22" ht="18" customHeight="1" x14ac:dyDescent="0.35">
      <c r="B51" s="13" t="s">
        <v>47</v>
      </c>
      <c r="C51" s="1" t="e">
        <f>#REF!</f>
        <v>#REF!</v>
      </c>
      <c r="D51" s="2" t="s">
        <v>3</v>
      </c>
      <c r="E51" s="6"/>
      <c r="F51" s="79"/>
      <c r="G51" s="34"/>
    </row>
    <row r="52" spans="2:22" ht="18" customHeight="1" x14ac:dyDescent="0.35">
      <c r="B52" s="46" t="s">
        <v>134</v>
      </c>
      <c r="C52" s="55" t="e">
        <f>SUM(C53:C55)</f>
        <v>#REF!</v>
      </c>
      <c r="D52" s="56" t="s">
        <v>24</v>
      </c>
      <c r="E52" s="57" t="s">
        <v>20</v>
      </c>
      <c r="F52" s="81"/>
      <c r="G52" s="34"/>
    </row>
    <row r="53" spans="2:22" ht="18" customHeight="1" x14ac:dyDescent="0.35">
      <c r="B53" s="13" t="s">
        <v>12</v>
      </c>
      <c r="C53" s="8" t="e">
        <f>#REF!</f>
        <v>#REF!</v>
      </c>
      <c r="D53" s="2" t="s">
        <v>24</v>
      </c>
      <c r="E53" s="6" t="s">
        <v>20</v>
      </c>
      <c r="F53" s="79"/>
      <c r="G53" s="34"/>
      <c r="H53" s="66"/>
      <c r="J53" s="66"/>
    </row>
    <row r="54" spans="2:22" ht="18" customHeight="1" x14ac:dyDescent="0.35">
      <c r="B54" s="13" t="s">
        <v>13</v>
      </c>
      <c r="C54" s="8" t="e">
        <f>#REF!</f>
        <v>#REF!</v>
      </c>
      <c r="D54" s="2" t="s">
        <v>24</v>
      </c>
      <c r="E54" s="6" t="s">
        <v>20</v>
      </c>
      <c r="F54" s="79"/>
      <c r="G54" s="34"/>
      <c r="H54" s="66"/>
      <c r="J54" s="66"/>
    </row>
    <row r="55" spans="2:22" ht="18" customHeight="1" x14ac:dyDescent="0.35">
      <c r="B55" s="13" t="s">
        <v>47</v>
      </c>
      <c r="C55" s="8" t="e">
        <f>#REF!</f>
        <v>#REF!</v>
      </c>
      <c r="D55" s="2" t="s">
        <v>24</v>
      </c>
      <c r="E55" s="6" t="s">
        <v>20</v>
      </c>
      <c r="F55" s="79"/>
      <c r="G55" s="34"/>
      <c r="H55" s="66"/>
    </row>
    <row r="56" spans="2:22" ht="11" customHeight="1" x14ac:dyDescent="0.35">
      <c r="B56" s="34"/>
      <c r="C56" s="34"/>
      <c r="D56" s="34"/>
      <c r="E56" s="34"/>
      <c r="F56" s="34"/>
      <c r="G56" s="34"/>
    </row>
    <row r="57" spans="2:22" s="51" customFormat="1" ht="22" customHeight="1" x14ac:dyDescent="0.35">
      <c r="B57" s="76" t="s">
        <v>63</v>
      </c>
      <c r="C57" s="22"/>
      <c r="D57" s="23"/>
      <c r="E57" s="24"/>
      <c r="F57" s="77"/>
      <c r="G57" s="34"/>
      <c r="L57" s="49"/>
      <c r="M57" s="50"/>
      <c r="N57" s="34"/>
      <c r="O57" s="34"/>
      <c r="P57" s="34"/>
      <c r="Q57" s="34"/>
      <c r="R57" s="34"/>
      <c r="S57" s="34"/>
      <c r="T57" s="34"/>
      <c r="U57" s="34"/>
      <c r="V57" s="34"/>
    </row>
    <row r="58" spans="2:22" ht="18" customHeight="1" x14ac:dyDescent="0.35">
      <c r="B58" s="13" t="s">
        <v>36</v>
      </c>
      <c r="C58" s="138">
        <v>0.20194986072423399</v>
      </c>
      <c r="D58" s="2" t="s">
        <v>35</v>
      </c>
      <c r="E58" s="6" t="s">
        <v>172</v>
      </c>
      <c r="F58" s="79"/>
      <c r="G58" s="34"/>
      <c r="H58" s="63"/>
      <c r="K58" s="63"/>
    </row>
    <row r="59" spans="2:22" ht="18" customHeight="1" x14ac:dyDescent="0.35">
      <c r="B59" s="13" t="s">
        <v>37</v>
      </c>
      <c r="C59" s="138">
        <v>6.8662952646239547E-2</v>
      </c>
      <c r="D59" s="2" t="s">
        <v>35</v>
      </c>
      <c r="E59" s="6" t="s">
        <v>172</v>
      </c>
      <c r="F59" s="79"/>
      <c r="G59" s="34"/>
      <c r="H59" s="63"/>
      <c r="K59" s="63"/>
    </row>
    <row r="60" spans="2:22" ht="18" customHeight="1" x14ac:dyDescent="0.35">
      <c r="B60" s="13" t="s">
        <v>38</v>
      </c>
      <c r="C60" s="138">
        <v>8.7186629526462389E-2</v>
      </c>
      <c r="D60" s="2" t="s">
        <v>35</v>
      </c>
      <c r="E60" s="6" t="s">
        <v>172</v>
      </c>
      <c r="F60" s="79"/>
      <c r="G60" s="34"/>
    </row>
    <row r="61" spans="2:22" ht="18" customHeight="1" x14ac:dyDescent="0.35">
      <c r="B61" s="13" t="s">
        <v>39</v>
      </c>
      <c r="C61" s="138">
        <v>2.9944289693593314E-2</v>
      </c>
      <c r="D61" s="2" t="s">
        <v>35</v>
      </c>
      <c r="E61" s="6" t="s">
        <v>172</v>
      </c>
      <c r="F61" s="79"/>
      <c r="G61" s="34"/>
    </row>
    <row r="62" spans="2:22" ht="11" customHeight="1" x14ac:dyDescent="0.35">
      <c r="B62" s="34"/>
      <c r="C62" s="34"/>
      <c r="D62" s="34"/>
      <c r="E62" s="34"/>
      <c r="F62" s="34"/>
      <c r="G62" s="34"/>
    </row>
    <row r="63" spans="2:22" s="51" customFormat="1" ht="22" customHeight="1" x14ac:dyDescent="0.35">
      <c r="B63" s="76" t="s">
        <v>50</v>
      </c>
      <c r="C63" s="22"/>
      <c r="D63" s="23"/>
      <c r="E63" s="24"/>
      <c r="F63" s="77"/>
      <c r="G63" s="34"/>
      <c r="L63" s="49"/>
      <c r="M63" s="50"/>
      <c r="N63" s="34"/>
      <c r="O63" s="34"/>
      <c r="P63" s="34"/>
      <c r="Q63" s="34"/>
      <c r="R63" s="34"/>
      <c r="S63" s="34"/>
      <c r="T63" s="34"/>
      <c r="U63" s="34"/>
      <c r="V63" s="34"/>
    </row>
    <row r="64" spans="2:22" ht="18" customHeight="1" x14ac:dyDescent="0.35">
      <c r="B64" s="13" t="s">
        <v>36</v>
      </c>
      <c r="C64" s="8" t="e">
        <f>$C$53*C58</f>
        <v>#REF!</v>
      </c>
      <c r="D64" s="2" t="s">
        <v>24</v>
      </c>
      <c r="E64" s="12" t="s">
        <v>20</v>
      </c>
      <c r="F64" s="79"/>
      <c r="G64" s="34"/>
      <c r="H64" s="66"/>
    </row>
    <row r="65" spans="2:22" ht="18" customHeight="1" x14ac:dyDescent="0.35">
      <c r="B65" s="13" t="s">
        <v>38</v>
      </c>
      <c r="C65" s="8" t="e">
        <f>$C$53*C60</f>
        <v>#REF!</v>
      </c>
      <c r="D65" s="2" t="s">
        <v>24</v>
      </c>
      <c r="E65" s="12" t="s">
        <v>20</v>
      </c>
      <c r="F65" s="79"/>
      <c r="G65" s="34"/>
    </row>
    <row r="66" spans="2:22" ht="18" customHeight="1" x14ac:dyDescent="0.35">
      <c r="B66" s="106" t="s">
        <v>51</v>
      </c>
      <c r="C66" s="108" t="e">
        <f>$C$53*C61</f>
        <v>#REF!</v>
      </c>
      <c r="D66" s="91" t="s">
        <v>24</v>
      </c>
      <c r="E66" s="109" t="s">
        <v>20</v>
      </c>
      <c r="F66" s="93"/>
      <c r="G66" s="34"/>
    </row>
    <row r="67" spans="2:22" ht="18" customHeight="1" x14ac:dyDescent="0.35">
      <c r="B67" s="115" t="s">
        <v>56</v>
      </c>
      <c r="C67" s="116" t="e">
        <f>SUM(C64:C66)</f>
        <v>#REF!</v>
      </c>
      <c r="D67" s="96" t="s">
        <v>24</v>
      </c>
      <c r="E67" s="117" t="s">
        <v>20</v>
      </c>
      <c r="F67" s="98"/>
      <c r="G67" s="34"/>
      <c r="H67" s="67"/>
    </row>
    <row r="68" spans="2:22" ht="18" customHeight="1" x14ac:dyDescent="0.35">
      <c r="B68" s="110" t="s">
        <v>37</v>
      </c>
      <c r="C68" s="111" t="e">
        <f>$C$53*C59</f>
        <v>#REF!</v>
      </c>
      <c r="D68" s="112" t="s">
        <v>24</v>
      </c>
      <c r="E68" s="113" t="s">
        <v>20</v>
      </c>
      <c r="F68" s="114"/>
      <c r="G68" s="34"/>
      <c r="H68" s="67"/>
    </row>
    <row r="69" spans="2:22" ht="11" customHeight="1" x14ac:dyDescent="0.35">
      <c r="B69" s="34"/>
      <c r="C69" s="34"/>
      <c r="D69" s="34"/>
      <c r="E69" s="34"/>
      <c r="F69" s="34"/>
      <c r="G69" s="34"/>
    </row>
    <row r="70" spans="2:22" s="51" customFormat="1" ht="22" customHeight="1" x14ac:dyDescent="0.35">
      <c r="B70" s="76" t="s">
        <v>166</v>
      </c>
      <c r="C70" s="22"/>
      <c r="D70" s="23"/>
      <c r="E70" s="24"/>
      <c r="F70" s="77"/>
      <c r="G70" s="34"/>
      <c r="L70" s="49"/>
      <c r="M70" s="50"/>
      <c r="N70" s="34"/>
      <c r="O70" s="34"/>
      <c r="P70" s="34"/>
      <c r="Q70" s="34"/>
      <c r="R70" s="34"/>
      <c r="S70" s="34"/>
      <c r="T70" s="34"/>
      <c r="U70" s="34"/>
      <c r="V70" s="34"/>
    </row>
    <row r="71" spans="2:22" ht="18" customHeight="1" x14ac:dyDescent="0.35">
      <c r="B71" s="32" t="str">
        <f>B11</f>
        <v>Residents on Weekly FOGO (sustainable service)</v>
      </c>
      <c r="C71" s="17"/>
      <c r="D71" s="18"/>
      <c r="E71" s="19"/>
      <c r="F71" s="80"/>
      <c r="G71" s="34"/>
    </row>
    <row r="72" spans="2:22" ht="18" customHeight="1" x14ac:dyDescent="0.35">
      <c r="B72" s="82" t="s">
        <v>52</v>
      </c>
      <c r="C72" s="9">
        <v>0.6</v>
      </c>
      <c r="D72" s="11" t="s">
        <v>54</v>
      </c>
      <c r="E72" s="12" t="s">
        <v>21</v>
      </c>
      <c r="F72" s="79"/>
      <c r="G72" s="34"/>
    </row>
    <row r="73" spans="2:22" ht="18" customHeight="1" x14ac:dyDescent="0.35">
      <c r="B73" s="82" t="s">
        <v>52</v>
      </c>
      <c r="C73" s="7" t="e">
        <f>C67*C72</f>
        <v>#REF!</v>
      </c>
      <c r="D73" s="11" t="s">
        <v>24</v>
      </c>
      <c r="E73" s="12" t="s">
        <v>20</v>
      </c>
      <c r="F73" s="79"/>
      <c r="G73" s="34"/>
    </row>
    <row r="74" spans="2:22" ht="18" customHeight="1" x14ac:dyDescent="0.35">
      <c r="B74" s="82" t="s">
        <v>53</v>
      </c>
      <c r="C74" s="9">
        <v>0.95</v>
      </c>
      <c r="D74" s="11" t="s">
        <v>54</v>
      </c>
      <c r="E74" s="12" t="s">
        <v>21</v>
      </c>
      <c r="F74" s="79" t="s">
        <v>64</v>
      </c>
      <c r="G74" s="34"/>
    </row>
    <row r="75" spans="2:22" ht="18" customHeight="1" x14ac:dyDescent="0.35">
      <c r="B75" s="82" t="s">
        <v>53</v>
      </c>
      <c r="C75" s="7" t="e">
        <f>C68*C74</f>
        <v>#REF!</v>
      </c>
      <c r="D75" s="11" t="s">
        <v>24</v>
      </c>
      <c r="E75" s="12" t="s">
        <v>20</v>
      </c>
      <c r="F75" s="79"/>
      <c r="G75" s="34"/>
    </row>
    <row r="76" spans="2:22" s="51" customFormat="1" ht="18" customHeight="1" x14ac:dyDescent="0.35">
      <c r="B76" s="82" t="s">
        <v>55</v>
      </c>
      <c r="C76" s="10">
        <v>0.5</v>
      </c>
      <c r="D76" s="11" t="s">
        <v>24</v>
      </c>
      <c r="E76" s="12" t="s">
        <v>21</v>
      </c>
      <c r="F76" s="79"/>
      <c r="G76" s="34"/>
      <c r="L76" s="49"/>
      <c r="M76" s="50"/>
      <c r="N76" s="34"/>
      <c r="O76" s="34"/>
      <c r="P76" s="34"/>
      <c r="Q76" s="34"/>
      <c r="R76" s="34"/>
      <c r="S76" s="34"/>
      <c r="T76" s="34"/>
      <c r="U76" s="34"/>
      <c r="V76" s="34"/>
    </row>
    <row r="77" spans="2:22" s="51" customFormat="1" ht="18" customHeight="1" x14ac:dyDescent="0.35">
      <c r="B77" s="82" t="s">
        <v>57</v>
      </c>
      <c r="C77" s="7" t="e">
        <f>C73*$C$26/1000</f>
        <v>#REF!</v>
      </c>
      <c r="D77" s="11" t="s">
        <v>59</v>
      </c>
      <c r="E77" s="12" t="s">
        <v>20</v>
      </c>
      <c r="F77" s="79"/>
      <c r="G77" s="34"/>
      <c r="L77" s="49"/>
      <c r="M77" s="50"/>
      <c r="N77" s="34"/>
      <c r="O77" s="34"/>
      <c r="P77" s="34"/>
      <c r="Q77" s="34"/>
      <c r="R77" s="34"/>
      <c r="S77" s="34"/>
      <c r="T77" s="34"/>
      <c r="U77" s="34"/>
      <c r="V77" s="34"/>
    </row>
    <row r="78" spans="2:22" s="51" customFormat="1" ht="18" customHeight="1" x14ac:dyDescent="0.35">
      <c r="B78" s="82" t="s">
        <v>58</v>
      </c>
      <c r="C78" s="7" t="e">
        <f>C75*$C$26/1000</f>
        <v>#REF!</v>
      </c>
      <c r="D78" s="11" t="s">
        <v>59</v>
      </c>
      <c r="E78" s="12" t="s">
        <v>20</v>
      </c>
      <c r="F78" s="79"/>
      <c r="G78" s="34"/>
      <c r="L78" s="49"/>
      <c r="M78" s="50"/>
      <c r="N78" s="34"/>
      <c r="O78" s="34"/>
      <c r="P78" s="34"/>
      <c r="Q78" s="34"/>
      <c r="R78" s="34"/>
      <c r="S78" s="34"/>
      <c r="T78" s="34"/>
      <c r="U78" s="34"/>
      <c r="V78" s="34"/>
    </row>
    <row r="79" spans="2:22" s="51" customFormat="1" ht="18" customHeight="1" x14ac:dyDescent="0.35">
      <c r="B79" s="82" t="s">
        <v>60</v>
      </c>
      <c r="C79" s="7" t="e">
        <f>C76*$C$28/1000</f>
        <v>#REF!</v>
      </c>
      <c r="D79" s="11" t="s">
        <v>59</v>
      </c>
      <c r="E79" s="12" t="s">
        <v>20</v>
      </c>
      <c r="F79" s="79"/>
      <c r="G79" s="34"/>
      <c r="L79" s="49"/>
      <c r="M79" s="50"/>
      <c r="N79" s="34"/>
      <c r="O79" s="34"/>
      <c r="P79" s="34"/>
      <c r="Q79" s="34"/>
      <c r="R79" s="34"/>
      <c r="S79" s="34"/>
      <c r="T79" s="34"/>
      <c r="U79" s="34"/>
      <c r="V79" s="34"/>
    </row>
    <row r="80" spans="2:22" ht="18" customHeight="1" x14ac:dyDescent="0.35">
      <c r="B80" s="32" t="str">
        <f>B15</f>
        <v>Residents on Weekly GW (old service)</v>
      </c>
      <c r="C80" s="17"/>
      <c r="D80" s="18"/>
      <c r="E80" s="19"/>
      <c r="F80" s="80"/>
      <c r="G80" s="34"/>
    </row>
    <row r="81" spans="2:22" s="51" customFormat="1" ht="18" customHeight="1" x14ac:dyDescent="0.35">
      <c r="B81" s="82" t="s">
        <v>52</v>
      </c>
      <c r="C81" s="9">
        <v>0</v>
      </c>
      <c r="D81" s="11" t="s">
        <v>54</v>
      </c>
      <c r="E81" s="12" t="s">
        <v>21</v>
      </c>
      <c r="F81" s="79"/>
      <c r="G81" s="34"/>
      <c r="L81" s="49"/>
      <c r="M81" s="50"/>
      <c r="N81" s="34"/>
      <c r="O81" s="34"/>
      <c r="P81" s="34"/>
      <c r="Q81" s="34"/>
      <c r="R81" s="34"/>
      <c r="S81" s="34"/>
      <c r="T81" s="34"/>
      <c r="U81" s="34"/>
      <c r="V81" s="34"/>
    </row>
    <row r="82" spans="2:22" s="51" customFormat="1" ht="18" customHeight="1" x14ac:dyDescent="0.35">
      <c r="B82" s="82" t="s">
        <v>52</v>
      </c>
      <c r="C82" s="7" t="e">
        <f>C67*C81</f>
        <v>#REF!</v>
      </c>
      <c r="D82" s="11" t="s">
        <v>24</v>
      </c>
      <c r="E82" s="12" t="s">
        <v>20</v>
      </c>
      <c r="F82" s="79"/>
      <c r="G82" s="34"/>
      <c r="L82" s="49"/>
      <c r="M82" s="50"/>
      <c r="N82" s="34"/>
      <c r="O82" s="34"/>
      <c r="P82" s="34"/>
      <c r="Q82" s="34"/>
      <c r="R82" s="34"/>
      <c r="S82" s="34"/>
      <c r="T82" s="34"/>
      <c r="U82" s="34"/>
      <c r="V82" s="34"/>
    </row>
    <row r="83" spans="2:22" s="51" customFormat="1" ht="18" customHeight="1" x14ac:dyDescent="0.35">
      <c r="B83" s="82" t="s">
        <v>53</v>
      </c>
      <c r="C83" s="9">
        <v>0</v>
      </c>
      <c r="D83" s="11" t="s">
        <v>54</v>
      </c>
      <c r="E83" s="12" t="s">
        <v>21</v>
      </c>
      <c r="F83" s="79"/>
      <c r="G83" s="34"/>
      <c r="L83" s="49"/>
      <c r="M83" s="50"/>
      <c r="N83" s="34"/>
      <c r="O83" s="34"/>
      <c r="P83" s="34"/>
      <c r="Q83" s="34"/>
      <c r="R83" s="34"/>
      <c r="S83" s="34"/>
      <c r="T83" s="34"/>
      <c r="U83" s="34"/>
      <c r="V83" s="34"/>
    </row>
    <row r="84" spans="2:22" s="51" customFormat="1" ht="18" customHeight="1" x14ac:dyDescent="0.35">
      <c r="B84" s="82" t="s">
        <v>53</v>
      </c>
      <c r="C84" s="7" t="e">
        <f>C68*C83</f>
        <v>#REF!</v>
      </c>
      <c r="D84" s="11" t="s">
        <v>24</v>
      </c>
      <c r="E84" s="12" t="s">
        <v>20</v>
      </c>
      <c r="F84" s="79"/>
      <c r="G84" s="34"/>
      <c r="L84" s="49"/>
      <c r="M84" s="50"/>
      <c r="N84" s="34"/>
      <c r="O84" s="34"/>
      <c r="P84" s="34"/>
      <c r="Q84" s="34"/>
      <c r="R84" s="34"/>
      <c r="S84" s="34"/>
      <c r="T84" s="34"/>
      <c r="U84" s="34"/>
      <c r="V84" s="34"/>
    </row>
    <row r="85" spans="2:22" s="51" customFormat="1" ht="18" customHeight="1" x14ac:dyDescent="0.35">
      <c r="B85" s="82" t="s">
        <v>55</v>
      </c>
      <c r="C85" s="10">
        <v>0</v>
      </c>
      <c r="D85" s="11" t="s">
        <v>24</v>
      </c>
      <c r="E85" s="12" t="s">
        <v>21</v>
      </c>
      <c r="F85" s="79"/>
      <c r="G85" s="34"/>
      <c r="L85" s="49"/>
      <c r="M85" s="50"/>
      <c r="N85" s="34"/>
      <c r="O85" s="34"/>
      <c r="P85" s="34"/>
      <c r="Q85" s="34"/>
      <c r="R85" s="34"/>
      <c r="S85" s="34"/>
      <c r="T85" s="34"/>
      <c r="U85" s="34"/>
      <c r="V85" s="34"/>
    </row>
    <row r="86" spans="2:22" s="51" customFormat="1" ht="18" customHeight="1" x14ac:dyDescent="0.35">
      <c r="B86" s="82" t="s">
        <v>169</v>
      </c>
      <c r="C86" s="7" t="e">
        <f>C82*$C$30/1000</f>
        <v>#REF!</v>
      </c>
      <c r="D86" s="11" t="s">
        <v>59</v>
      </c>
      <c r="E86" s="12" t="s">
        <v>20</v>
      </c>
      <c r="F86" s="79"/>
      <c r="G86" s="34"/>
      <c r="L86" s="49"/>
      <c r="M86" s="50"/>
      <c r="N86" s="34"/>
      <c r="O86" s="34"/>
      <c r="P86" s="34"/>
      <c r="Q86" s="34"/>
      <c r="R86" s="34"/>
      <c r="S86" s="34"/>
      <c r="T86" s="34"/>
      <c r="U86" s="34"/>
      <c r="V86" s="34"/>
    </row>
    <row r="87" spans="2:22" s="51" customFormat="1" ht="18" customHeight="1" x14ac:dyDescent="0.35">
      <c r="B87" s="82" t="s">
        <v>170</v>
      </c>
      <c r="C87" s="7" t="e">
        <f>C84*$C$30/1000</f>
        <v>#REF!</v>
      </c>
      <c r="D87" s="11" t="s">
        <v>59</v>
      </c>
      <c r="E87" s="12" t="s">
        <v>20</v>
      </c>
      <c r="F87" s="79"/>
      <c r="G87" s="34"/>
      <c r="L87" s="49"/>
      <c r="M87" s="50"/>
      <c r="N87" s="34"/>
      <c r="O87" s="34"/>
      <c r="P87" s="34"/>
      <c r="Q87" s="34"/>
      <c r="R87" s="34"/>
      <c r="S87" s="34"/>
      <c r="T87" s="34"/>
      <c r="U87" s="34"/>
      <c r="V87" s="34"/>
    </row>
    <row r="88" spans="2:22" s="51" customFormat="1" ht="18" customHeight="1" x14ac:dyDescent="0.35">
      <c r="B88" s="82" t="s">
        <v>171</v>
      </c>
      <c r="C88" s="7" t="e">
        <f>C85*$C$30/1000</f>
        <v>#REF!</v>
      </c>
      <c r="D88" s="11" t="s">
        <v>59</v>
      </c>
      <c r="E88" s="12" t="s">
        <v>20</v>
      </c>
      <c r="F88" s="79"/>
      <c r="G88" s="34"/>
      <c r="L88" s="49"/>
      <c r="M88" s="50"/>
      <c r="N88" s="34"/>
      <c r="O88" s="34"/>
      <c r="P88" s="34"/>
      <c r="Q88" s="34"/>
      <c r="R88" s="34"/>
      <c r="S88" s="34"/>
      <c r="T88" s="34"/>
      <c r="U88" s="34"/>
      <c r="V88" s="34"/>
    </row>
    <row r="89" spans="2:22" s="51" customFormat="1" ht="11" customHeight="1" x14ac:dyDescent="0.35">
      <c r="B89" s="34"/>
      <c r="C89" s="34"/>
      <c r="D89" s="34"/>
      <c r="E89" s="34"/>
      <c r="F89" s="34"/>
      <c r="G89" s="34"/>
      <c r="L89" s="49"/>
      <c r="M89" s="50"/>
      <c r="N89" s="34"/>
      <c r="O89" s="34"/>
      <c r="P89" s="34"/>
      <c r="Q89" s="34"/>
      <c r="R89" s="34"/>
      <c r="S89" s="34"/>
      <c r="T89" s="34"/>
      <c r="U89" s="34"/>
      <c r="V89" s="34"/>
    </row>
    <row r="90" spans="2:22" s="51" customFormat="1" ht="22" customHeight="1" x14ac:dyDescent="0.35">
      <c r="B90" s="76" t="s">
        <v>120</v>
      </c>
      <c r="C90" s="22"/>
      <c r="D90" s="23"/>
      <c r="E90" s="24"/>
      <c r="F90" s="77"/>
      <c r="G90" s="34"/>
      <c r="L90" s="49"/>
      <c r="M90" s="50"/>
      <c r="N90" s="34"/>
      <c r="O90" s="34"/>
      <c r="P90" s="34"/>
      <c r="Q90" s="34"/>
      <c r="R90" s="34"/>
      <c r="S90" s="34"/>
      <c r="T90" s="34"/>
      <c r="U90" s="34"/>
      <c r="V90" s="34"/>
    </row>
    <row r="91" spans="2:22" s="51" customFormat="1" ht="18" customHeight="1" x14ac:dyDescent="0.35">
      <c r="B91" s="83" t="str">
        <f>B11</f>
        <v>Residents on Weekly FOGO (sustainable service)</v>
      </c>
      <c r="C91" s="48"/>
      <c r="D91" s="48"/>
      <c r="E91" s="44"/>
      <c r="F91" s="78"/>
      <c r="G91" s="34"/>
      <c r="L91" s="49"/>
      <c r="M91" s="50"/>
      <c r="N91" s="34"/>
      <c r="O91" s="34"/>
      <c r="P91" s="34"/>
      <c r="Q91" s="34"/>
      <c r="R91" s="34"/>
      <c r="S91" s="34"/>
      <c r="T91" s="34"/>
      <c r="U91" s="34"/>
      <c r="V91" s="34"/>
    </row>
    <row r="92" spans="2:22" s="51" customFormat="1" ht="18" customHeight="1" x14ac:dyDescent="0.35">
      <c r="B92" s="82" t="s">
        <v>12</v>
      </c>
      <c r="C92" s="9">
        <v>0.1</v>
      </c>
      <c r="D92" s="6" t="s">
        <v>121</v>
      </c>
      <c r="E92" s="12" t="s">
        <v>21</v>
      </c>
      <c r="F92" s="79"/>
      <c r="G92" s="34"/>
      <c r="L92" s="49"/>
      <c r="M92" s="50"/>
      <c r="N92" s="34"/>
      <c r="O92" s="34"/>
      <c r="P92" s="34"/>
      <c r="Q92" s="34"/>
      <c r="R92" s="34"/>
      <c r="S92" s="34"/>
      <c r="T92" s="34"/>
      <c r="U92" s="34"/>
      <c r="V92" s="34"/>
    </row>
    <row r="93" spans="2:22" s="51" customFormat="1" ht="18" customHeight="1" x14ac:dyDescent="0.35">
      <c r="B93" s="82" t="s">
        <v>13</v>
      </c>
      <c r="C93" s="9">
        <v>0</v>
      </c>
      <c r="D93" s="6" t="s">
        <v>121</v>
      </c>
      <c r="E93" s="12" t="s">
        <v>21</v>
      </c>
      <c r="F93" s="79"/>
      <c r="G93" s="34"/>
      <c r="L93" s="49"/>
      <c r="M93" s="50"/>
      <c r="N93" s="34"/>
      <c r="O93" s="34"/>
      <c r="P93" s="34"/>
      <c r="Q93" s="34"/>
      <c r="R93" s="34"/>
      <c r="S93" s="34"/>
      <c r="T93" s="34"/>
      <c r="U93" s="34"/>
      <c r="V93" s="34"/>
    </row>
    <row r="94" spans="2:22" s="51" customFormat="1" ht="18" customHeight="1" x14ac:dyDescent="0.35">
      <c r="B94" s="82" t="s">
        <v>15</v>
      </c>
      <c r="C94" s="9">
        <v>-0.05</v>
      </c>
      <c r="D94" s="6" t="s">
        <v>121</v>
      </c>
      <c r="E94" s="12" t="s">
        <v>21</v>
      </c>
      <c r="F94" s="79"/>
      <c r="G94" s="34"/>
      <c r="L94" s="49"/>
      <c r="M94" s="50"/>
      <c r="N94" s="34"/>
      <c r="O94" s="34"/>
      <c r="P94" s="34"/>
      <c r="Q94" s="34"/>
      <c r="R94" s="34"/>
      <c r="S94" s="34"/>
      <c r="T94" s="34"/>
      <c r="U94" s="34"/>
      <c r="V94" s="34"/>
    </row>
    <row r="95" spans="2:22" s="51" customFormat="1" ht="18" customHeight="1" x14ac:dyDescent="0.35">
      <c r="B95" s="83" t="str">
        <f>B15</f>
        <v>Residents on Weekly GW (old service)</v>
      </c>
      <c r="C95" s="48"/>
      <c r="D95" s="48"/>
      <c r="E95" s="44"/>
      <c r="F95" s="78"/>
      <c r="G95" s="34"/>
      <c r="L95" s="49"/>
      <c r="M95" s="50"/>
      <c r="N95" s="34"/>
      <c r="O95" s="34"/>
      <c r="P95" s="34"/>
      <c r="Q95" s="34"/>
      <c r="R95" s="34"/>
      <c r="S95" s="34"/>
      <c r="T95" s="34"/>
      <c r="U95" s="34"/>
      <c r="V95" s="34"/>
    </row>
    <row r="96" spans="2:22" s="51" customFormat="1" ht="18" customHeight="1" x14ac:dyDescent="0.35">
      <c r="B96" s="82" t="s">
        <v>12</v>
      </c>
      <c r="C96" s="9">
        <v>0.5</v>
      </c>
      <c r="D96" s="6" t="s">
        <v>121</v>
      </c>
      <c r="E96" s="12" t="s">
        <v>21</v>
      </c>
      <c r="F96" s="79"/>
      <c r="G96" s="34"/>
      <c r="L96" s="49"/>
      <c r="M96" s="50"/>
      <c r="N96" s="34"/>
      <c r="O96" s="34"/>
      <c r="P96" s="34"/>
      <c r="Q96" s="34"/>
      <c r="R96" s="34"/>
      <c r="S96" s="34"/>
      <c r="T96" s="34"/>
      <c r="U96" s="34"/>
      <c r="V96" s="34"/>
    </row>
    <row r="97" spans="2:22" s="51" customFormat="1" ht="18" customHeight="1" x14ac:dyDescent="0.35">
      <c r="B97" s="82" t="s">
        <v>13</v>
      </c>
      <c r="C97" s="9">
        <v>0</v>
      </c>
      <c r="D97" s="6" t="s">
        <v>121</v>
      </c>
      <c r="E97" s="12" t="s">
        <v>21</v>
      </c>
      <c r="F97" s="79"/>
      <c r="G97" s="34"/>
      <c r="L97" s="49"/>
      <c r="M97" s="50"/>
      <c r="N97" s="34"/>
      <c r="O97" s="34"/>
      <c r="P97" s="34"/>
      <c r="Q97" s="34"/>
      <c r="R97" s="34"/>
      <c r="S97" s="34"/>
      <c r="T97" s="34"/>
      <c r="U97" s="34"/>
      <c r="V97" s="34"/>
    </row>
    <row r="98" spans="2:22" s="51" customFormat="1" ht="18" customHeight="1" x14ac:dyDescent="0.35">
      <c r="B98" s="82" t="s">
        <v>15</v>
      </c>
      <c r="C98" s="9">
        <v>0</v>
      </c>
      <c r="D98" s="6" t="s">
        <v>121</v>
      </c>
      <c r="E98" s="12" t="s">
        <v>21</v>
      </c>
      <c r="F98" s="79"/>
      <c r="G98" s="34"/>
      <c r="L98" s="49"/>
      <c r="M98" s="50"/>
      <c r="N98" s="34"/>
      <c r="O98" s="34"/>
      <c r="P98" s="34"/>
      <c r="Q98" s="34"/>
      <c r="R98" s="34"/>
      <c r="S98" s="34"/>
      <c r="T98" s="34"/>
      <c r="U98" s="34"/>
      <c r="V98" s="34"/>
    </row>
    <row r="99" spans="2:22" s="51" customFormat="1" ht="11" customHeight="1" x14ac:dyDescent="0.35">
      <c r="B99" s="34"/>
      <c r="C99" s="34"/>
      <c r="D99" s="34"/>
      <c r="E99" s="34"/>
      <c r="F99" s="34"/>
      <c r="G99" s="34"/>
      <c r="L99" s="49"/>
      <c r="M99" s="50"/>
      <c r="N99" s="34"/>
      <c r="O99" s="34"/>
      <c r="P99" s="34"/>
      <c r="Q99" s="34"/>
      <c r="R99" s="34"/>
      <c r="S99" s="34"/>
      <c r="T99" s="34"/>
      <c r="U99" s="34"/>
      <c r="V99" s="34"/>
    </row>
    <row r="100" spans="2:22" s="51" customFormat="1" ht="22" customHeight="1" x14ac:dyDescent="0.35">
      <c r="B100" s="76" t="s">
        <v>74</v>
      </c>
      <c r="C100" s="22"/>
      <c r="D100" s="23"/>
      <c r="E100" s="24"/>
      <c r="F100" s="77"/>
      <c r="G100" s="34"/>
      <c r="L100" s="49"/>
      <c r="M100" s="50"/>
      <c r="N100" s="34"/>
      <c r="O100" s="34"/>
      <c r="P100" s="34"/>
      <c r="Q100" s="34"/>
      <c r="R100" s="34"/>
      <c r="S100" s="34"/>
      <c r="T100" s="34"/>
      <c r="U100" s="34"/>
      <c r="V100" s="34"/>
    </row>
    <row r="101" spans="2:22" s="51" customFormat="1" ht="18" customHeight="1" x14ac:dyDescent="0.35">
      <c r="B101" s="83" t="str">
        <f>B11</f>
        <v>Residents on Weekly FOGO (sustainable service)</v>
      </c>
      <c r="C101" s="48"/>
      <c r="D101" s="48"/>
      <c r="E101" s="44"/>
      <c r="F101" s="78"/>
      <c r="G101" s="34"/>
      <c r="L101" s="49"/>
      <c r="M101" s="50"/>
      <c r="N101" s="34"/>
      <c r="O101" s="34"/>
      <c r="P101" s="34"/>
      <c r="Q101" s="34"/>
      <c r="R101" s="34"/>
      <c r="S101" s="34"/>
      <c r="T101" s="34"/>
      <c r="U101" s="34"/>
      <c r="V101" s="34"/>
    </row>
    <row r="102" spans="2:22" s="51" customFormat="1" ht="18" customHeight="1" x14ac:dyDescent="0.35">
      <c r="B102" s="82" t="s">
        <v>12</v>
      </c>
      <c r="C102" s="6" t="e">
        <f>#REF!*(1+C92)</f>
        <v>#REF!</v>
      </c>
      <c r="D102" s="6" t="s">
        <v>48</v>
      </c>
      <c r="E102" s="12" t="s">
        <v>27</v>
      </c>
      <c r="F102" s="79"/>
      <c r="G102" s="34"/>
      <c r="H102" s="52"/>
      <c r="L102" s="49"/>
      <c r="M102" s="50"/>
      <c r="N102" s="34"/>
      <c r="O102" s="34"/>
      <c r="P102" s="34"/>
      <c r="Q102" s="34"/>
      <c r="R102" s="34"/>
      <c r="S102" s="34"/>
      <c r="T102" s="34"/>
      <c r="U102" s="34"/>
      <c r="V102" s="34"/>
    </row>
    <row r="103" spans="2:22" s="51" customFormat="1" ht="18" customHeight="1" x14ac:dyDescent="0.35">
      <c r="B103" s="82" t="s">
        <v>13</v>
      </c>
      <c r="C103" s="6" t="e">
        <f>#REF!*(1+C93)</f>
        <v>#REF!</v>
      </c>
      <c r="D103" s="6" t="s">
        <v>48</v>
      </c>
      <c r="E103" s="12" t="s">
        <v>27</v>
      </c>
      <c r="F103" s="79"/>
      <c r="G103" s="34"/>
      <c r="H103" s="52"/>
      <c r="L103" s="49"/>
      <c r="M103" s="50"/>
      <c r="N103" s="34"/>
      <c r="O103" s="34"/>
      <c r="P103" s="34"/>
      <c r="Q103" s="34"/>
      <c r="R103" s="34"/>
      <c r="S103" s="34"/>
      <c r="T103" s="34"/>
      <c r="U103" s="34"/>
      <c r="V103" s="34"/>
    </row>
    <row r="104" spans="2:22" s="51" customFormat="1" ht="18" customHeight="1" x14ac:dyDescent="0.35">
      <c r="B104" s="82" t="s">
        <v>15</v>
      </c>
      <c r="C104" s="6" t="e">
        <f>#REF!*(1+C94)</f>
        <v>#REF!</v>
      </c>
      <c r="D104" s="6" t="s">
        <v>48</v>
      </c>
      <c r="E104" s="12" t="s">
        <v>27</v>
      </c>
      <c r="F104" s="79"/>
      <c r="G104" s="34"/>
      <c r="H104" s="52"/>
      <c r="L104" s="49"/>
      <c r="M104" s="50"/>
      <c r="N104" s="34"/>
      <c r="O104" s="34"/>
      <c r="P104" s="34"/>
      <c r="Q104" s="34"/>
      <c r="R104" s="34"/>
      <c r="S104" s="34"/>
      <c r="T104" s="34"/>
      <c r="U104" s="34"/>
      <c r="V104" s="34"/>
    </row>
    <row r="105" spans="2:22" s="51" customFormat="1" ht="18" customHeight="1" x14ac:dyDescent="0.35">
      <c r="B105" s="83" t="str">
        <f>B15</f>
        <v>Residents on Weekly GW (old service)</v>
      </c>
      <c r="C105" s="48"/>
      <c r="D105" s="48"/>
      <c r="E105" s="44"/>
      <c r="F105" s="78"/>
      <c r="G105" s="34"/>
      <c r="L105" s="49"/>
      <c r="M105" s="50"/>
      <c r="N105" s="34"/>
      <c r="O105" s="34"/>
      <c r="P105" s="34"/>
      <c r="Q105" s="34"/>
      <c r="R105" s="34"/>
      <c r="S105" s="34"/>
      <c r="T105" s="34"/>
      <c r="U105" s="34"/>
      <c r="V105" s="34"/>
    </row>
    <row r="106" spans="2:22" s="51" customFormat="1" ht="18" customHeight="1" x14ac:dyDescent="0.35">
      <c r="B106" s="82" t="s">
        <v>12</v>
      </c>
      <c r="C106" s="6" t="e">
        <f>#REF!*(1+C96)</f>
        <v>#REF!</v>
      </c>
      <c r="D106" s="6" t="s">
        <v>48</v>
      </c>
      <c r="E106" s="12" t="s">
        <v>27</v>
      </c>
      <c r="F106" s="79"/>
      <c r="G106" s="34"/>
      <c r="H106" s="52" t="e">
        <f>C106*C30</f>
        <v>#REF!</v>
      </c>
      <c r="I106" s="59" t="s">
        <v>147</v>
      </c>
      <c r="L106" s="49"/>
      <c r="M106" s="50"/>
      <c r="N106" s="34"/>
      <c r="O106" s="34"/>
      <c r="P106" s="34"/>
      <c r="Q106" s="34"/>
      <c r="R106" s="34"/>
      <c r="S106" s="34"/>
      <c r="T106" s="34"/>
      <c r="U106" s="34"/>
      <c r="V106" s="34"/>
    </row>
    <row r="107" spans="2:22" s="51" customFormat="1" ht="18" customHeight="1" x14ac:dyDescent="0.35">
      <c r="B107" s="82" t="s">
        <v>13</v>
      </c>
      <c r="C107" s="6" t="e">
        <f>#REF!*(1+C97)</f>
        <v>#REF!</v>
      </c>
      <c r="D107" s="6" t="s">
        <v>48</v>
      </c>
      <c r="E107" s="12" t="s">
        <v>27</v>
      </c>
      <c r="F107" s="79"/>
      <c r="G107" s="34"/>
      <c r="H107" s="131" t="e">
        <f>H106/200</f>
        <v>#REF!</v>
      </c>
      <c r="I107" s="59" t="s">
        <v>160</v>
      </c>
      <c r="L107" s="49"/>
      <c r="M107" s="50"/>
      <c r="N107" s="34"/>
      <c r="O107" s="34"/>
      <c r="P107" s="34"/>
      <c r="Q107" s="34"/>
      <c r="R107" s="34"/>
      <c r="S107" s="34"/>
      <c r="T107" s="34"/>
      <c r="U107" s="34"/>
      <c r="V107" s="34"/>
    </row>
    <row r="108" spans="2:22" s="51" customFormat="1" ht="18" customHeight="1" x14ac:dyDescent="0.35">
      <c r="B108" s="82" t="s">
        <v>15</v>
      </c>
      <c r="C108" s="6" t="e">
        <f>#REF!*(1+C98)</f>
        <v>#REF!</v>
      </c>
      <c r="D108" s="6" t="s">
        <v>48</v>
      </c>
      <c r="E108" s="12" t="s">
        <v>27</v>
      </c>
      <c r="F108" s="79"/>
      <c r="G108" s="34"/>
      <c r="H108" s="133" t="e">
        <f>C30/H107</f>
        <v>#REF!</v>
      </c>
      <c r="I108" s="59" t="s">
        <v>159</v>
      </c>
      <c r="L108" s="49"/>
      <c r="M108" s="50"/>
      <c r="N108" s="34"/>
      <c r="O108" s="34"/>
      <c r="P108" s="34"/>
      <c r="Q108" s="34"/>
      <c r="R108" s="34"/>
      <c r="S108" s="34"/>
      <c r="T108" s="34"/>
      <c r="U108" s="34"/>
      <c r="V108" s="34"/>
    </row>
    <row r="109" spans="2:22" s="51" customFormat="1" ht="11" customHeight="1" x14ac:dyDescent="0.35">
      <c r="B109" s="34"/>
      <c r="C109" s="34"/>
      <c r="D109" s="34"/>
      <c r="E109" s="34"/>
      <c r="F109" s="34"/>
      <c r="G109" s="34"/>
      <c r="L109" s="49"/>
      <c r="M109" s="50"/>
      <c r="N109" s="34"/>
      <c r="O109" s="34"/>
      <c r="P109" s="34"/>
      <c r="Q109" s="34"/>
      <c r="R109" s="34"/>
      <c r="S109" s="34"/>
      <c r="T109" s="34"/>
      <c r="U109" s="34"/>
      <c r="V109" s="34"/>
    </row>
    <row r="110" spans="2:22" s="51" customFormat="1" ht="22" customHeight="1" x14ac:dyDescent="0.35">
      <c r="B110" s="76" t="s">
        <v>75</v>
      </c>
      <c r="C110" s="22"/>
      <c r="D110" s="23"/>
      <c r="E110" s="24"/>
      <c r="F110" s="77"/>
      <c r="G110" s="34"/>
      <c r="L110" s="49"/>
      <c r="M110" s="50"/>
      <c r="N110" s="34"/>
      <c r="O110" s="34"/>
      <c r="P110" s="34"/>
      <c r="Q110" s="34"/>
      <c r="R110" s="34"/>
      <c r="S110" s="34"/>
      <c r="T110" s="34"/>
      <c r="U110" s="34"/>
      <c r="V110" s="34"/>
    </row>
    <row r="111" spans="2:22" s="51" customFormat="1" ht="18" customHeight="1" x14ac:dyDescent="0.35">
      <c r="B111" s="82" t="s">
        <v>76</v>
      </c>
      <c r="C111" s="6" t="e">
        <f>#REF!</f>
        <v>#REF!</v>
      </c>
      <c r="D111" s="6" t="s">
        <v>2</v>
      </c>
      <c r="E111" s="12" t="s">
        <v>20</v>
      </c>
      <c r="F111" s="79"/>
      <c r="G111" s="34"/>
      <c r="L111" s="49"/>
      <c r="M111" s="50"/>
      <c r="N111" s="34"/>
      <c r="O111" s="34"/>
      <c r="P111" s="34"/>
      <c r="Q111" s="34"/>
      <c r="R111" s="34"/>
      <c r="S111" s="34"/>
      <c r="T111" s="34"/>
      <c r="U111" s="34"/>
      <c r="V111" s="34"/>
    </row>
    <row r="112" spans="2:22" s="51" customFormat="1" ht="18" customHeight="1" x14ac:dyDescent="0.35">
      <c r="B112" s="82" t="s">
        <v>77</v>
      </c>
      <c r="C112" s="6" t="e">
        <f>#REF!</f>
        <v>#REF!</v>
      </c>
      <c r="D112" s="6" t="s">
        <v>2</v>
      </c>
      <c r="E112" s="12" t="s">
        <v>29</v>
      </c>
      <c r="F112" s="79"/>
      <c r="G112" s="34"/>
      <c r="H112" s="133"/>
      <c r="L112" s="49"/>
      <c r="M112" s="50"/>
      <c r="N112" s="34"/>
      <c r="O112" s="34"/>
      <c r="P112" s="34"/>
      <c r="Q112" s="34"/>
      <c r="R112" s="34"/>
      <c r="S112" s="34"/>
      <c r="T112" s="34"/>
      <c r="U112" s="34"/>
      <c r="V112" s="34"/>
    </row>
    <row r="113" spans="2:22" s="51" customFormat="1" ht="18" customHeight="1" x14ac:dyDescent="0.35">
      <c r="B113" s="82" t="s">
        <v>43</v>
      </c>
      <c r="C113" s="6" t="e">
        <f>#REF!</f>
        <v>#REF!</v>
      </c>
      <c r="D113" s="6" t="s">
        <v>2</v>
      </c>
      <c r="E113" s="12" t="s">
        <v>20</v>
      </c>
      <c r="F113" s="79"/>
      <c r="G113" s="34"/>
      <c r="L113" s="49"/>
      <c r="M113" s="50"/>
      <c r="N113" s="34"/>
      <c r="O113" s="34"/>
      <c r="P113" s="34"/>
      <c r="Q113" s="34"/>
      <c r="R113" s="34"/>
      <c r="S113" s="34"/>
      <c r="T113" s="34"/>
      <c r="U113" s="34"/>
      <c r="V113" s="34"/>
    </row>
    <row r="114" spans="2:22" s="51" customFormat="1" ht="18" customHeight="1" x14ac:dyDescent="0.35">
      <c r="B114" s="82" t="s">
        <v>78</v>
      </c>
      <c r="C114" s="6" t="e">
        <f>#REF!</f>
        <v>#REF!</v>
      </c>
      <c r="D114" s="6" t="s">
        <v>2</v>
      </c>
      <c r="E114" s="12" t="s">
        <v>20</v>
      </c>
      <c r="F114" s="79"/>
      <c r="G114" s="34"/>
      <c r="L114" s="49"/>
      <c r="M114" s="50"/>
      <c r="N114" s="34"/>
      <c r="O114" s="34"/>
      <c r="P114" s="34"/>
      <c r="Q114" s="34"/>
      <c r="R114" s="34"/>
      <c r="S114" s="34"/>
      <c r="T114" s="34"/>
      <c r="U114" s="34"/>
      <c r="V114" s="34"/>
    </row>
    <row r="115" spans="2:22" s="51" customFormat="1" ht="11" customHeight="1" x14ac:dyDescent="0.35">
      <c r="B115" s="34"/>
      <c r="C115" s="34"/>
      <c r="D115" s="34"/>
      <c r="E115" s="34"/>
      <c r="F115" s="34"/>
      <c r="G115" s="34"/>
      <c r="L115" s="49"/>
      <c r="M115" s="50"/>
      <c r="N115" s="34"/>
      <c r="O115" s="34"/>
      <c r="P115" s="34"/>
      <c r="Q115" s="34"/>
      <c r="R115" s="34"/>
      <c r="S115" s="34"/>
      <c r="T115" s="34"/>
      <c r="U115" s="34"/>
      <c r="V115" s="34"/>
    </row>
    <row r="116" spans="2:22" s="51" customFormat="1" ht="22" customHeight="1" x14ac:dyDescent="0.35">
      <c r="B116" s="76" t="s">
        <v>6</v>
      </c>
      <c r="C116" s="22"/>
      <c r="D116" s="23"/>
      <c r="E116" s="24"/>
      <c r="F116" s="77"/>
      <c r="G116" s="34"/>
      <c r="L116" s="49"/>
      <c r="M116" s="50"/>
      <c r="N116" s="34"/>
      <c r="O116" s="34"/>
      <c r="P116" s="34"/>
      <c r="Q116" s="34"/>
      <c r="R116" s="34"/>
      <c r="S116" s="34"/>
      <c r="T116" s="34"/>
      <c r="U116" s="34"/>
      <c r="V116" s="34"/>
    </row>
    <row r="117" spans="2:22" s="51" customFormat="1" ht="18" customHeight="1" x14ac:dyDescent="0.35">
      <c r="B117" s="3" t="s">
        <v>79</v>
      </c>
      <c r="C117" s="137">
        <v>55</v>
      </c>
      <c r="D117" s="14" t="s">
        <v>8</v>
      </c>
      <c r="E117" s="12" t="s">
        <v>21</v>
      </c>
      <c r="F117" s="84" t="s">
        <v>81</v>
      </c>
      <c r="G117" s="34"/>
      <c r="L117" s="49"/>
      <c r="M117" s="50"/>
      <c r="N117" s="34"/>
      <c r="O117" s="34"/>
      <c r="P117" s="34"/>
      <c r="Q117" s="34"/>
      <c r="R117" s="34"/>
      <c r="S117" s="34"/>
      <c r="T117" s="34"/>
      <c r="U117" s="34"/>
      <c r="V117" s="34"/>
    </row>
    <row r="118" spans="2:22" s="51" customFormat="1" ht="18" customHeight="1" x14ac:dyDescent="0.35">
      <c r="B118" s="3" t="s">
        <v>80</v>
      </c>
      <c r="C118" s="137">
        <v>60</v>
      </c>
      <c r="D118" s="14" t="s">
        <v>8</v>
      </c>
      <c r="E118" s="12" t="s">
        <v>21</v>
      </c>
      <c r="F118" s="84" t="s">
        <v>81</v>
      </c>
      <c r="G118" s="34"/>
      <c r="L118" s="49"/>
      <c r="M118" s="50"/>
      <c r="N118" s="34"/>
      <c r="O118" s="34"/>
      <c r="P118" s="34"/>
      <c r="Q118" s="34"/>
      <c r="R118" s="34"/>
      <c r="S118" s="34"/>
      <c r="T118" s="34"/>
      <c r="U118" s="34"/>
      <c r="V118" s="34"/>
    </row>
    <row r="119" spans="2:22" s="51" customFormat="1" ht="18" customHeight="1" x14ac:dyDescent="0.35">
      <c r="B119" s="3" t="s">
        <v>10</v>
      </c>
      <c r="C119" s="137">
        <v>5</v>
      </c>
      <c r="D119" s="14" t="s">
        <v>11</v>
      </c>
      <c r="E119" s="12" t="s">
        <v>21</v>
      </c>
      <c r="F119" s="79"/>
      <c r="G119" s="34"/>
      <c r="L119" s="49"/>
      <c r="M119" s="50"/>
      <c r="N119" s="34"/>
      <c r="O119" s="34"/>
      <c r="P119" s="34"/>
      <c r="Q119" s="34"/>
      <c r="R119" s="34"/>
      <c r="S119" s="34"/>
      <c r="T119" s="34"/>
      <c r="U119" s="34"/>
      <c r="V119" s="34"/>
    </row>
    <row r="120" spans="2:22" s="51" customFormat="1" ht="18" customHeight="1" x14ac:dyDescent="0.35">
      <c r="B120" s="3" t="s">
        <v>7</v>
      </c>
      <c r="C120" s="137">
        <v>5</v>
      </c>
      <c r="D120" s="14" t="s">
        <v>9</v>
      </c>
      <c r="E120" s="12" t="s">
        <v>21</v>
      </c>
      <c r="F120" s="79"/>
      <c r="G120" s="34"/>
      <c r="L120" s="49"/>
      <c r="M120" s="50"/>
      <c r="N120" s="34"/>
      <c r="O120" s="34"/>
      <c r="P120" s="34"/>
      <c r="Q120" s="34"/>
      <c r="R120" s="34"/>
      <c r="S120" s="34"/>
      <c r="T120" s="34"/>
      <c r="U120" s="34"/>
      <c r="V120" s="34"/>
    </row>
    <row r="121" spans="2:22" s="51" customFormat="1" ht="18" customHeight="1" x14ac:dyDescent="0.35">
      <c r="B121" s="3" t="s">
        <v>22</v>
      </c>
      <c r="C121" s="137">
        <v>5</v>
      </c>
      <c r="D121" s="14" t="s">
        <v>31</v>
      </c>
      <c r="E121" s="12" t="s">
        <v>21</v>
      </c>
      <c r="F121" s="79"/>
      <c r="G121" s="34"/>
      <c r="L121" s="49"/>
      <c r="M121" s="50"/>
      <c r="N121" s="34"/>
      <c r="O121" s="34"/>
      <c r="P121" s="34"/>
      <c r="Q121" s="34"/>
      <c r="R121" s="34"/>
      <c r="S121" s="34"/>
      <c r="T121" s="34"/>
      <c r="U121" s="34"/>
      <c r="V121" s="34"/>
    </row>
    <row r="122" spans="2:22" s="51" customFormat="1" ht="18" customHeight="1" x14ac:dyDescent="0.35">
      <c r="B122" s="3" t="s">
        <v>86</v>
      </c>
      <c r="C122" s="137">
        <v>5</v>
      </c>
      <c r="D122" s="14" t="s">
        <v>123</v>
      </c>
      <c r="E122" s="12" t="s">
        <v>21</v>
      </c>
      <c r="F122" s="79"/>
      <c r="G122" s="34"/>
      <c r="L122" s="49"/>
      <c r="M122" s="50"/>
      <c r="N122" s="34"/>
      <c r="O122" s="34"/>
      <c r="P122" s="34"/>
      <c r="Q122" s="34"/>
      <c r="R122" s="34"/>
      <c r="S122" s="34"/>
      <c r="T122" s="34"/>
      <c r="U122" s="34"/>
      <c r="V122" s="34"/>
    </row>
    <row r="123" spans="2:22" s="51" customFormat="1" ht="11" customHeight="1" x14ac:dyDescent="0.35">
      <c r="B123" s="34"/>
      <c r="C123" s="34"/>
      <c r="D123" s="34"/>
      <c r="E123" s="34"/>
      <c r="F123" s="34"/>
      <c r="G123" s="34"/>
      <c r="L123" s="49"/>
      <c r="M123" s="50"/>
      <c r="N123" s="34"/>
      <c r="O123" s="34"/>
      <c r="P123" s="34"/>
      <c r="Q123" s="34"/>
      <c r="R123" s="34"/>
      <c r="S123" s="34"/>
      <c r="T123" s="34"/>
      <c r="U123" s="34"/>
      <c r="V123" s="34"/>
    </row>
    <row r="124" spans="2:22" s="51" customFormat="1" ht="22" customHeight="1" x14ac:dyDescent="0.35">
      <c r="B124" s="76" t="s">
        <v>138</v>
      </c>
      <c r="C124" s="22"/>
      <c r="D124" s="23"/>
      <c r="E124" s="24"/>
      <c r="F124" s="77"/>
      <c r="G124" s="34"/>
      <c r="L124" s="49"/>
      <c r="M124" s="50"/>
      <c r="N124" s="34"/>
      <c r="O124" s="34"/>
      <c r="P124" s="34"/>
      <c r="Q124" s="34"/>
      <c r="R124" s="34"/>
      <c r="S124" s="34"/>
      <c r="T124" s="34"/>
      <c r="U124" s="34"/>
      <c r="V124" s="34"/>
    </row>
    <row r="125" spans="2:22" s="51" customFormat="1" ht="18" customHeight="1" x14ac:dyDescent="0.35">
      <c r="B125" s="3" t="s">
        <v>178</v>
      </c>
      <c r="C125" s="137">
        <v>20</v>
      </c>
      <c r="D125" s="14" t="s">
        <v>123</v>
      </c>
      <c r="E125" s="12" t="s">
        <v>21</v>
      </c>
      <c r="F125" s="84"/>
      <c r="G125" s="34"/>
      <c r="L125" s="49"/>
      <c r="M125" s="50"/>
      <c r="N125" s="34"/>
      <c r="O125" s="34"/>
      <c r="P125" s="34"/>
      <c r="Q125" s="34"/>
      <c r="R125" s="34"/>
      <c r="S125" s="34"/>
      <c r="T125" s="34"/>
      <c r="U125" s="34"/>
      <c r="V125" s="34"/>
    </row>
    <row r="126" spans="2:22" s="51" customFormat="1" ht="11" customHeight="1" x14ac:dyDescent="0.35">
      <c r="B126" s="34"/>
      <c r="C126" s="34"/>
      <c r="D126" s="34"/>
      <c r="E126" s="34"/>
      <c r="F126" s="34"/>
      <c r="G126" s="34"/>
      <c r="L126" s="49"/>
      <c r="M126" s="50"/>
      <c r="N126" s="34"/>
      <c r="O126" s="34"/>
      <c r="P126" s="34"/>
      <c r="Q126" s="34"/>
      <c r="R126" s="34"/>
      <c r="S126" s="34"/>
      <c r="T126" s="34"/>
      <c r="U126" s="34"/>
      <c r="V126" s="34"/>
    </row>
    <row r="127" spans="2:22" s="51" customFormat="1" ht="22" customHeight="1" x14ac:dyDescent="0.35">
      <c r="B127" s="76" t="s">
        <v>87</v>
      </c>
      <c r="C127" s="22"/>
      <c r="D127" s="23"/>
      <c r="E127" s="24"/>
      <c r="F127" s="77"/>
      <c r="G127" s="34"/>
      <c r="L127" s="49"/>
      <c r="M127" s="50"/>
      <c r="N127" s="34"/>
      <c r="O127" s="34"/>
      <c r="P127" s="34"/>
      <c r="Q127" s="34"/>
      <c r="R127" s="34"/>
      <c r="S127" s="34"/>
      <c r="T127" s="34"/>
      <c r="U127" s="34"/>
      <c r="V127" s="34"/>
    </row>
    <row r="128" spans="2:22" s="51" customFormat="1" ht="18" customHeight="1" x14ac:dyDescent="0.35">
      <c r="B128" s="82" t="s">
        <v>88</v>
      </c>
      <c r="C128" s="28">
        <v>0.64100000000000001</v>
      </c>
      <c r="D128" s="29" t="s">
        <v>34</v>
      </c>
      <c r="E128" s="12" t="s">
        <v>33</v>
      </c>
      <c r="F128" s="79"/>
      <c r="G128" s="34"/>
      <c r="L128" s="49"/>
      <c r="M128" s="50"/>
      <c r="N128" s="34"/>
      <c r="O128" s="34"/>
      <c r="P128" s="34"/>
      <c r="Q128" s="34"/>
      <c r="R128" s="34"/>
      <c r="S128" s="34"/>
      <c r="T128" s="34"/>
      <c r="U128" s="34"/>
      <c r="V128" s="34"/>
    </row>
    <row r="129" spans="2:22" s="51" customFormat="1" ht="18" customHeight="1" x14ac:dyDescent="0.35">
      <c r="B129" s="82" t="s">
        <v>89</v>
      </c>
      <c r="C129" s="28">
        <v>0.22370000000000001</v>
      </c>
      <c r="D129" s="29" t="s">
        <v>34</v>
      </c>
      <c r="E129" s="12" t="s">
        <v>32</v>
      </c>
      <c r="F129" s="79"/>
      <c r="G129" s="34"/>
      <c r="L129" s="49"/>
      <c r="M129" s="50"/>
      <c r="N129" s="34"/>
      <c r="O129" s="34"/>
      <c r="P129" s="34"/>
      <c r="Q129" s="34"/>
      <c r="R129" s="34"/>
      <c r="S129" s="34"/>
      <c r="T129" s="34"/>
      <c r="U129" s="34"/>
      <c r="V129" s="34"/>
    </row>
    <row r="130" spans="2:22" s="51" customFormat="1" ht="18" customHeight="1" x14ac:dyDescent="0.35">
      <c r="B130" s="82" t="s">
        <v>95</v>
      </c>
      <c r="C130" s="28">
        <v>0.23094661463752644</v>
      </c>
      <c r="D130" s="30" t="s">
        <v>90</v>
      </c>
      <c r="E130" s="12" t="s">
        <v>32</v>
      </c>
      <c r="F130" s="79"/>
      <c r="G130" s="34"/>
      <c r="L130" s="49"/>
      <c r="M130" s="50"/>
      <c r="N130" s="34"/>
      <c r="O130" s="34"/>
      <c r="P130" s="34"/>
      <c r="Q130" s="34"/>
      <c r="R130" s="34"/>
      <c r="S130" s="34"/>
      <c r="T130" s="34"/>
      <c r="U130" s="34"/>
      <c r="V130" s="34"/>
    </row>
    <row r="131" spans="2:22" s="51" customFormat="1" ht="18" customHeight="1" x14ac:dyDescent="0.35">
      <c r="B131" s="82" t="s">
        <v>96</v>
      </c>
      <c r="C131" s="28">
        <v>1.4947687766665279</v>
      </c>
      <c r="D131" s="30" t="s">
        <v>91</v>
      </c>
      <c r="E131" s="12" t="s">
        <v>32</v>
      </c>
      <c r="F131" s="79"/>
      <c r="G131" s="34"/>
      <c r="L131" s="49"/>
      <c r="M131" s="50"/>
      <c r="N131" s="34"/>
      <c r="O131" s="34"/>
      <c r="P131" s="34"/>
      <c r="Q131" s="34"/>
      <c r="R131" s="34"/>
      <c r="S131" s="34"/>
      <c r="T131" s="34"/>
      <c r="U131" s="34"/>
      <c r="V131" s="34"/>
    </row>
    <row r="132" spans="2:22" s="51" customFormat="1" ht="28" x14ac:dyDescent="0.35">
      <c r="B132" s="82" t="s">
        <v>93</v>
      </c>
      <c r="C132" s="7">
        <v>6.1</v>
      </c>
      <c r="D132" s="30" t="s">
        <v>92</v>
      </c>
      <c r="E132" s="12" t="s">
        <v>33</v>
      </c>
      <c r="F132" s="79"/>
      <c r="G132" s="34"/>
      <c r="L132" s="49"/>
      <c r="M132" s="50"/>
      <c r="N132" s="34"/>
      <c r="O132" s="34"/>
      <c r="P132" s="34"/>
      <c r="Q132" s="34"/>
      <c r="R132" s="34"/>
      <c r="S132" s="34"/>
      <c r="T132" s="34"/>
      <c r="U132" s="34"/>
      <c r="V132" s="34"/>
    </row>
    <row r="133" spans="2:22" s="51" customFormat="1" ht="18" customHeight="1" x14ac:dyDescent="0.35">
      <c r="B133" s="82" t="s">
        <v>94</v>
      </c>
      <c r="C133" s="4">
        <v>334</v>
      </c>
      <c r="D133" s="30" t="s">
        <v>26</v>
      </c>
      <c r="E133" s="12" t="s">
        <v>33</v>
      </c>
      <c r="F133" s="79"/>
      <c r="G133" s="34"/>
      <c r="L133" s="49"/>
      <c r="M133" s="50"/>
      <c r="N133" s="34"/>
      <c r="O133" s="34"/>
      <c r="P133" s="34"/>
      <c r="Q133" s="34"/>
      <c r="R133" s="34"/>
      <c r="S133" s="34"/>
      <c r="T133" s="34"/>
      <c r="U133" s="34"/>
      <c r="V133" s="34"/>
    </row>
    <row r="134" spans="2:22" s="51" customFormat="1" ht="11" customHeight="1" x14ac:dyDescent="0.35">
      <c r="B134" s="34"/>
      <c r="C134" s="34"/>
      <c r="D134" s="34"/>
      <c r="E134" s="34"/>
      <c r="F134" s="34"/>
      <c r="G134" s="34"/>
      <c r="L134" s="49"/>
      <c r="M134" s="50"/>
      <c r="N134" s="34"/>
      <c r="O134" s="34"/>
      <c r="P134" s="34"/>
      <c r="Q134" s="34"/>
      <c r="R134" s="34"/>
      <c r="S134" s="34"/>
      <c r="T134" s="34"/>
      <c r="U134" s="34"/>
      <c r="V134" s="34"/>
    </row>
    <row r="135" spans="2:22" s="51" customFormat="1" ht="11" customHeight="1" x14ac:dyDescent="0.35">
      <c r="B135" s="34"/>
      <c r="C135" s="34"/>
      <c r="D135" s="34"/>
      <c r="E135" s="34"/>
      <c r="F135" s="34"/>
      <c r="G135" s="34"/>
      <c r="L135" s="49"/>
      <c r="M135" s="50"/>
      <c r="N135" s="34"/>
      <c r="O135" s="34"/>
      <c r="P135" s="34"/>
      <c r="Q135" s="34"/>
      <c r="R135" s="34"/>
      <c r="S135" s="34"/>
      <c r="T135" s="34"/>
      <c r="U135" s="34"/>
      <c r="V135" s="34"/>
    </row>
    <row r="136" spans="2:22" s="51" customFormat="1" ht="32.5" customHeight="1" x14ac:dyDescent="0.35">
      <c r="B136" s="5" t="s">
        <v>167</v>
      </c>
      <c r="C136" s="128" t="s">
        <v>68</v>
      </c>
      <c r="D136" s="128" t="s">
        <v>1</v>
      </c>
      <c r="E136" s="128" t="s">
        <v>19</v>
      </c>
      <c r="F136" s="128" t="s">
        <v>18</v>
      </c>
      <c r="G136" s="37"/>
      <c r="L136" s="49"/>
      <c r="M136" s="50"/>
      <c r="N136" s="34"/>
      <c r="O136" s="34"/>
      <c r="P136" s="34"/>
      <c r="Q136" s="34"/>
      <c r="R136" s="34"/>
      <c r="S136" s="34"/>
      <c r="T136" s="34"/>
      <c r="U136" s="34"/>
      <c r="V136" s="34"/>
    </row>
    <row r="137" spans="2:22" s="51" customFormat="1" ht="22" customHeight="1" x14ac:dyDescent="0.35">
      <c r="B137" s="143" t="s">
        <v>71</v>
      </c>
      <c r="C137" s="134"/>
      <c r="D137" s="134"/>
      <c r="E137" s="134"/>
      <c r="F137" s="134"/>
      <c r="G137" s="34"/>
      <c r="L137" s="49"/>
      <c r="M137" s="50"/>
      <c r="N137" s="34"/>
      <c r="O137" s="34"/>
      <c r="P137" s="34"/>
      <c r="Q137" s="34"/>
      <c r="R137" s="34"/>
      <c r="S137" s="34"/>
      <c r="T137" s="34"/>
      <c r="U137" s="34"/>
      <c r="V137" s="34"/>
    </row>
    <row r="138" spans="2:22" s="51" customFormat="1" ht="18" customHeight="1" x14ac:dyDescent="0.35">
      <c r="B138" s="46" t="str">
        <f>B11</f>
        <v>Residents on Weekly FOGO (sustainable service)</v>
      </c>
      <c r="C138" s="45"/>
      <c r="D138" s="47"/>
      <c r="E138" s="48"/>
      <c r="F138" s="78"/>
      <c r="G138" s="39"/>
      <c r="L138" s="49"/>
      <c r="M138" s="50"/>
      <c r="N138" s="34"/>
      <c r="O138" s="34"/>
      <c r="P138" s="34"/>
      <c r="Q138" s="34"/>
      <c r="R138" s="34"/>
      <c r="S138" s="34"/>
      <c r="T138" s="34"/>
      <c r="U138" s="34"/>
      <c r="V138" s="34"/>
    </row>
    <row r="139" spans="2:22" s="51" customFormat="1" ht="18" customHeight="1" x14ac:dyDescent="0.35">
      <c r="B139" s="13" t="s">
        <v>65</v>
      </c>
      <c r="C139" s="1" t="e">
        <f>C77*52</f>
        <v>#REF!</v>
      </c>
      <c r="D139" s="2" t="s">
        <v>69</v>
      </c>
      <c r="E139" s="12" t="s">
        <v>20</v>
      </c>
      <c r="F139" s="79"/>
      <c r="G139" s="34"/>
      <c r="L139" s="49"/>
      <c r="M139" s="50"/>
      <c r="N139" s="34"/>
      <c r="O139" s="34"/>
      <c r="P139" s="34"/>
      <c r="Q139" s="34"/>
      <c r="R139" s="34"/>
      <c r="S139" s="34"/>
      <c r="T139" s="34"/>
      <c r="U139" s="34"/>
      <c r="V139" s="34"/>
    </row>
    <row r="140" spans="2:22" s="51" customFormat="1" ht="18" customHeight="1" x14ac:dyDescent="0.35">
      <c r="B140" s="13" t="s">
        <v>66</v>
      </c>
      <c r="C140" s="1" t="e">
        <f>C78*52</f>
        <v>#REF!</v>
      </c>
      <c r="D140" s="2" t="s">
        <v>69</v>
      </c>
      <c r="E140" s="12" t="s">
        <v>20</v>
      </c>
      <c r="F140" s="79"/>
      <c r="G140" s="34"/>
      <c r="L140" s="49"/>
      <c r="M140" s="50"/>
      <c r="N140" s="34"/>
      <c r="O140" s="34"/>
      <c r="P140" s="34"/>
      <c r="Q140" s="34"/>
      <c r="R140" s="34"/>
      <c r="S140" s="34"/>
      <c r="T140" s="34"/>
      <c r="U140" s="34"/>
      <c r="V140" s="34"/>
    </row>
    <row r="141" spans="2:22" s="51" customFormat="1" ht="18" customHeight="1" x14ac:dyDescent="0.35">
      <c r="B141" s="13" t="s">
        <v>67</v>
      </c>
      <c r="C141" s="1" t="e">
        <f>C79*52</f>
        <v>#REF!</v>
      </c>
      <c r="D141" s="2" t="s">
        <v>69</v>
      </c>
      <c r="E141" s="12" t="s">
        <v>20</v>
      </c>
      <c r="F141" s="79"/>
      <c r="G141" s="34"/>
      <c r="L141" s="49"/>
      <c r="M141" s="50"/>
      <c r="N141" s="34"/>
      <c r="O141" s="34"/>
      <c r="P141" s="34"/>
      <c r="Q141" s="34"/>
      <c r="R141" s="34"/>
      <c r="S141" s="34"/>
      <c r="T141" s="34"/>
      <c r="U141" s="34"/>
      <c r="V141" s="34"/>
    </row>
    <row r="142" spans="2:22" s="51" customFormat="1" ht="18" customHeight="1" x14ac:dyDescent="0.35">
      <c r="B142" s="46" t="str">
        <f>B15</f>
        <v>Residents on Weekly GW (old service)</v>
      </c>
      <c r="C142" s="45"/>
      <c r="D142" s="47"/>
      <c r="E142" s="48"/>
      <c r="F142" s="78"/>
      <c r="G142" s="34"/>
      <c r="L142" s="49"/>
      <c r="M142" s="50"/>
      <c r="N142" s="34"/>
      <c r="O142" s="34"/>
      <c r="P142" s="34"/>
      <c r="Q142" s="34"/>
      <c r="R142" s="34"/>
      <c r="S142" s="34"/>
      <c r="T142" s="34"/>
      <c r="U142" s="34"/>
      <c r="V142" s="34"/>
    </row>
    <row r="143" spans="2:22" s="51" customFormat="1" ht="18" customHeight="1" x14ac:dyDescent="0.35">
      <c r="B143" s="13" t="s">
        <v>65</v>
      </c>
      <c r="C143" s="1" t="e">
        <f>C86*52</f>
        <v>#REF!</v>
      </c>
      <c r="D143" s="2" t="s">
        <v>69</v>
      </c>
      <c r="E143" s="12" t="s">
        <v>20</v>
      </c>
      <c r="F143" s="79"/>
      <c r="G143" s="34"/>
      <c r="L143" s="49"/>
      <c r="M143" s="50"/>
      <c r="N143" s="34"/>
      <c r="O143" s="34"/>
      <c r="P143" s="34"/>
      <c r="Q143" s="34"/>
      <c r="R143" s="34"/>
      <c r="S143" s="34"/>
      <c r="T143" s="34"/>
      <c r="U143" s="34"/>
      <c r="V143" s="34"/>
    </row>
    <row r="144" spans="2:22" s="51" customFormat="1" ht="18" customHeight="1" x14ac:dyDescent="0.35">
      <c r="B144" s="13" t="s">
        <v>66</v>
      </c>
      <c r="C144" s="1" t="e">
        <f>C87*52</f>
        <v>#REF!</v>
      </c>
      <c r="D144" s="2" t="s">
        <v>69</v>
      </c>
      <c r="E144" s="12" t="s">
        <v>20</v>
      </c>
      <c r="F144" s="79"/>
      <c r="G144" s="34"/>
      <c r="L144" s="49"/>
      <c r="M144" s="50"/>
      <c r="N144" s="34"/>
      <c r="O144" s="34"/>
      <c r="P144" s="34"/>
      <c r="Q144" s="34"/>
      <c r="R144" s="34"/>
      <c r="S144" s="34"/>
      <c r="T144" s="34"/>
      <c r="U144" s="34"/>
      <c r="V144" s="34"/>
    </row>
    <row r="145" spans="2:22" s="51" customFormat="1" ht="18" customHeight="1" x14ac:dyDescent="0.35">
      <c r="B145" s="13" t="s">
        <v>67</v>
      </c>
      <c r="C145" s="1" t="e">
        <f>C88*52</f>
        <v>#REF!</v>
      </c>
      <c r="D145" s="2" t="s">
        <v>69</v>
      </c>
      <c r="E145" s="12" t="s">
        <v>20</v>
      </c>
      <c r="F145" s="79"/>
      <c r="G145" s="34"/>
      <c r="L145" s="49"/>
      <c r="M145" s="50"/>
      <c r="N145" s="34"/>
      <c r="O145" s="34"/>
      <c r="P145" s="34"/>
      <c r="Q145" s="34"/>
      <c r="R145" s="34"/>
      <c r="S145" s="34"/>
      <c r="T145" s="34"/>
      <c r="U145" s="34"/>
      <c r="V145" s="34"/>
    </row>
    <row r="146" spans="2:22" s="51" customFormat="1" ht="18" customHeight="1" x14ac:dyDescent="0.35">
      <c r="B146" s="32" t="s">
        <v>0</v>
      </c>
      <c r="C146" s="25"/>
      <c r="D146" s="20"/>
      <c r="E146" s="21"/>
      <c r="F146" s="80"/>
      <c r="G146" s="34"/>
      <c r="L146" s="49"/>
      <c r="M146" s="50"/>
      <c r="N146" s="34"/>
      <c r="O146" s="34"/>
      <c r="P146" s="34"/>
      <c r="Q146" s="34"/>
      <c r="R146" s="34"/>
      <c r="S146" s="34"/>
      <c r="T146" s="34"/>
      <c r="U146" s="34"/>
      <c r="V146" s="34"/>
    </row>
    <row r="147" spans="2:22" s="51" customFormat="1" ht="18" customHeight="1" x14ac:dyDescent="0.35">
      <c r="B147" s="13" t="s">
        <v>65</v>
      </c>
      <c r="C147" s="1" t="e">
        <f>SUM(C139,C143)</f>
        <v>#REF!</v>
      </c>
      <c r="D147" s="2" t="s">
        <v>69</v>
      </c>
      <c r="E147" s="12" t="s">
        <v>20</v>
      </c>
      <c r="F147" s="79"/>
      <c r="G147" s="34"/>
      <c r="L147" s="49"/>
      <c r="M147" s="50"/>
      <c r="N147" s="34"/>
      <c r="O147" s="34"/>
      <c r="P147" s="34"/>
      <c r="Q147" s="34"/>
      <c r="R147" s="34"/>
      <c r="S147" s="34"/>
      <c r="T147" s="34"/>
      <c r="U147" s="34"/>
      <c r="V147" s="34"/>
    </row>
    <row r="148" spans="2:22" s="51" customFormat="1" ht="18" customHeight="1" x14ac:dyDescent="0.35">
      <c r="B148" s="13" t="s">
        <v>66</v>
      </c>
      <c r="C148" s="1" t="e">
        <f>SUM(C140,C144)</f>
        <v>#REF!</v>
      </c>
      <c r="D148" s="2" t="s">
        <v>69</v>
      </c>
      <c r="E148" s="12" t="s">
        <v>20</v>
      </c>
      <c r="F148" s="79"/>
      <c r="G148" s="34"/>
      <c r="L148" s="49"/>
      <c r="M148" s="50"/>
      <c r="N148" s="34"/>
      <c r="O148" s="34"/>
      <c r="P148" s="34"/>
      <c r="Q148" s="34"/>
      <c r="R148" s="34"/>
      <c r="S148" s="34"/>
      <c r="T148" s="34"/>
      <c r="U148" s="34"/>
      <c r="V148" s="34"/>
    </row>
    <row r="149" spans="2:22" s="51" customFormat="1" ht="18" customHeight="1" x14ac:dyDescent="0.35">
      <c r="B149" s="13" t="s">
        <v>67</v>
      </c>
      <c r="C149" s="1" t="e">
        <f>SUM(C141,C145)</f>
        <v>#REF!</v>
      </c>
      <c r="D149" s="2" t="s">
        <v>69</v>
      </c>
      <c r="E149" s="12" t="s">
        <v>20</v>
      </c>
      <c r="F149" s="79"/>
      <c r="G149" s="34"/>
      <c r="L149" s="49"/>
      <c r="M149" s="50"/>
      <c r="N149" s="34"/>
      <c r="O149" s="34"/>
      <c r="P149" s="34"/>
      <c r="Q149" s="34"/>
      <c r="R149" s="34"/>
      <c r="S149" s="34"/>
      <c r="T149" s="34"/>
      <c r="U149" s="34"/>
      <c r="V149" s="34"/>
    </row>
    <row r="150" spans="2:22" s="51" customFormat="1" ht="18" customHeight="1" x14ac:dyDescent="0.35">
      <c r="B150" s="15" t="s">
        <v>70</v>
      </c>
      <c r="C150" s="16" t="e">
        <f>SUM(C147:C149)</f>
        <v>#REF!</v>
      </c>
      <c r="D150" s="27" t="s">
        <v>69</v>
      </c>
      <c r="E150" s="12" t="s">
        <v>20</v>
      </c>
      <c r="F150" s="79"/>
      <c r="G150" s="39"/>
      <c r="L150" s="49"/>
      <c r="M150" s="50"/>
      <c r="N150" s="34"/>
      <c r="O150" s="34"/>
      <c r="P150" s="34"/>
      <c r="Q150" s="34"/>
      <c r="R150" s="34"/>
      <c r="S150" s="34"/>
      <c r="T150" s="34"/>
      <c r="U150" s="34"/>
      <c r="V150" s="34"/>
    </row>
    <row r="151" spans="2:22" s="51" customFormat="1" ht="11" customHeight="1" x14ac:dyDescent="0.35">
      <c r="B151" s="34"/>
      <c r="C151" s="34"/>
      <c r="D151" s="34"/>
      <c r="E151" s="34"/>
      <c r="F151" s="34"/>
      <c r="G151" s="34"/>
      <c r="L151" s="49"/>
      <c r="M151" s="50"/>
      <c r="N151" s="34"/>
      <c r="O151" s="34"/>
      <c r="P151" s="34"/>
      <c r="Q151" s="34"/>
      <c r="R151" s="34"/>
      <c r="S151" s="34"/>
      <c r="T151" s="34"/>
      <c r="U151" s="34"/>
      <c r="V151" s="34"/>
    </row>
    <row r="152" spans="2:22" s="51" customFormat="1" ht="22" customHeight="1" x14ac:dyDescent="0.35">
      <c r="B152" s="143" t="s">
        <v>73</v>
      </c>
      <c r="C152" s="135"/>
      <c r="D152" s="135"/>
      <c r="E152" s="135"/>
      <c r="F152" s="134"/>
      <c r="G152" s="34"/>
      <c r="L152" s="49"/>
      <c r="M152" s="50"/>
      <c r="N152" s="34"/>
      <c r="O152" s="34"/>
      <c r="P152" s="34"/>
      <c r="Q152" s="34"/>
      <c r="R152" s="34"/>
      <c r="S152" s="34"/>
      <c r="T152" s="34"/>
      <c r="U152" s="34"/>
      <c r="V152" s="34"/>
    </row>
    <row r="153" spans="2:22" s="51" customFormat="1" ht="18" customHeight="1" x14ac:dyDescent="0.35">
      <c r="B153" s="13" t="s">
        <v>12</v>
      </c>
      <c r="C153" s="1" t="e">
        <f>C49-SUM(C147:C148)</f>
        <v>#REF!</v>
      </c>
      <c r="D153" s="2" t="s">
        <v>3</v>
      </c>
      <c r="E153" s="6" t="s">
        <v>20</v>
      </c>
      <c r="F153" s="79"/>
      <c r="G153" s="39"/>
      <c r="H153" s="65" t="e">
        <f>C49-C153</f>
        <v>#REF!</v>
      </c>
      <c r="L153" s="49"/>
      <c r="M153" s="50"/>
      <c r="N153" s="34"/>
      <c r="O153" s="34"/>
      <c r="P153" s="34"/>
      <c r="Q153" s="34"/>
      <c r="R153" s="34"/>
      <c r="S153" s="34"/>
      <c r="T153" s="34"/>
      <c r="U153" s="34"/>
      <c r="V153" s="34"/>
    </row>
    <row r="154" spans="2:22" s="51" customFormat="1" ht="18" customHeight="1" x14ac:dyDescent="0.35">
      <c r="B154" s="13" t="s">
        <v>13</v>
      </c>
      <c r="C154" s="1" t="e">
        <f>C50</f>
        <v>#REF!</v>
      </c>
      <c r="D154" s="2" t="s">
        <v>3</v>
      </c>
      <c r="E154" s="6" t="s">
        <v>20</v>
      </c>
      <c r="F154" s="79"/>
      <c r="G154" s="34"/>
      <c r="L154" s="49"/>
      <c r="M154" s="50"/>
      <c r="N154" s="34"/>
      <c r="O154" s="34"/>
      <c r="P154" s="34"/>
      <c r="Q154" s="34"/>
      <c r="R154" s="34"/>
      <c r="S154" s="34"/>
      <c r="T154" s="34"/>
      <c r="U154" s="34"/>
      <c r="V154" s="34"/>
    </row>
    <row r="155" spans="2:22" s="51" customFormat="1" ht="18" customHeight="1" x14ac:dyDescent="0.35">
      <c r="B155" s="13" t="s">
        <v>47</v>
      </c>
      <c r="C155" s="1" t="e">
        <f>C51+C150</f>
        <v>#REF!</v>
      </c>
      <c r="D155" s="2" t="s">
        <v>3</v>
      </c>
      <c r="E155" s="6" t="s">
        <v>20</v>
      </c>
      <c r="F155" s="79"/>
      <c r="G155" s="34"/>
      <c r="L155" s="49"/>
      <c r="M155" s="50"/>
      <c r="N155" s="34"/>
      <c r="O155" s="34"/>
      <c r="P155" s="34"/>
      <c r="Q155" s="34"/>
      <c r="R155" s="34"/>
      <c r="S155" s="34"/>
      <c r="T155" s="34"/>
      <c r="U155" s="34"/>
      <c r="V155" s="34"/>
    </row>
    <row r="156" spans="2:22" s="51" customFormat="1" ht="18" customHeight="1" x14ac:dyDescent="0.35">
      <c r="B156" s="15" t="s">
        <v>0</v>
      </c>
      <c r="C156" s="16" t="e">
        <f>SUM(C153:C155)</f>
        <v>#REF!</v>
      </c>
      <c r="D156" s="27" t="s">
        <v>3</v>
      </c>
      <c r="E156" s="31" t="s">
        <v>20</v>
      </c>
      <c r="F156" s="140"/>
      <c r="G156" s="34"/>
      <c r="L156" s="49"/>
      <c r="M156" s="50"/>
      <c r="N156" s="34"/>
      <c r="O156" s="34"/>
      <c r="P156" s="34"/>
      <c r="Q156" s="34"/>
      <c r="R156" s="34"/>
      <c r="S156" s="34"/>
      <c r="T156" s="34"/>
      <c r="U156" s="34"/>
      <c r="V156" s="34"/>
    </row>
    <row r="157" spans="2:22" s="51" customFormat="1" ht="22" customHeight="1" x14ac:dyDescent="0.35">
      <c r="B157" s="143" t="s">
        <v>62</v>
      </c>
      <c r="C157" s="135"/>
      <c r="D157" s="135"/>
      <c r="E157" s="135"/>
      <c r="F157" s="134"/>
      <c r="G157" s="34"/>
      <c r="L157" s="49"/>
      <c r="M157" s="50"/>
      <c r="N157" s="34"/>
      <c r="O157" s="34"/>
      <c r="P157" s="34"/>
      <c r="Q157" s="34"/>
      <c r="R157" s="34"/>
      <c r="S157" s="34"/>
      <c r="T157" s="34"/>
      <c r="U157" s="34"/>
      <c r="V157" s="34"/>
    </row>
    <row r="158" spans="2:22" s="51" customFormat="1" ht="18" customHeight="1" x14ac:dyDescent="0.35">
      <c r="B158" s="13" t="s">
        <v>12</v>
      </c>
      <c r="C158" s="7" t="e">
        <f>C153*1000/(C6*52)</f>
        <v>#REF!</v>
      </c>
      <c r="D158" s="2" t="s">
        <v>24</v>
      </c>
      <c r="E158" s="6" t="s">
        <v>20</v>
      </c>
      <c r="F158" s="79"/>
      <c r="G158" s="39"/>
      <c r="L158" s="49"/>
      <c r="M158" s="50"/>
      <c r="N158" s="34"/>
      <c r="O158" s="34"/>
      <c r="P158" s="34"/>
      <c r="Q158" s="34"/>
      <c r="R158" s="34"/>
      <c r="S158" s="34"/>
      <c r="T158" s="34"/>
      <c r="U158" s="34"/>
      <c r="V158" s="34"/>
    </row>
    <row r="159" spans="2:22" s="51" customFormat="1" ht="18" customHeight="1" x14ac:dyDescent="0.35">
      <c r="B159" s="13" t="s">
        <v>13</v>
      </c>
      <c r="C159" s="7" t="e">
        <f>C154*1000/(C7*52)</f>
        <v>#REF!</v>
      </c>
      <c r="D159" s="2" t="s">
        <v>24</v>
      </c>
      <c r="E159" s="6" t="s">
        <v>20</v>
      </c>
      <c r="F159" s="79"/>
      <c r="G159" s="34"/>
      <c r="L159" s="49"/>
      <c r="M159" s="50"/>
      <c r="N159" s="34"/>
      <c r="O159" s="34"/>
      <c r="P159" s="34"/>
      <c r="Q159" s="34"/>
      <c r="R159" s="34"/>
      <c r="S159" s="34"/>
      <c r="T159" s="34"/>
      <c r="U159" s="34"/>
      <c r="V159" s="34"/>
    </row>
    <row r="160" spans="2:22" s="51" customFormat="1" ht="18" customHeight="1" x14ac:dyDescent="0.35">
      <c r="B160" s="13" t="s">
        <v>47</v>
      </c>
      <c r="C160" s="7" t="e">
        <f>C155*1000/(C8*52)</f>
        <v>#REF!</v>
      </c>
      <c r="D160" s="2" t="s">
        <v>24</v>
      </c>
      <c r="E160" s="6" t="s">
        <v>20</v>
      </c>
      <c r="F160" s="79"/>
      <c r="G160" s="34"/>
      <c r="L160" s="49"/>
      <c r="M160" s="50"/>
      <c r="N160" s="34"/>
      <c r="O160" s="34"/>
      <c r="P160" s="34"/>
      <c r="Q160" s="34"/>
      <c r="R160" s="34"/>
      <c r="S160" s="34"/>
      <c r="T160" s="34"/>
      <c r="U160" s="34"/>
      <c r="V160" s="34"/>
    </row>
    <row r="161" spans="2:22" s="51" customFormat="1" ht="18" customHeight="1" x14ac:dyDescent="0.35">
      <c r="B161" s="15" t="s">
        <v>0</v>
      </c>
      <c r="C161" s="139" t="e">
        <f>SUM(C158:C160)</f>
        <v>#REF!</v>
      </c>
      <c r="D161" s="27" t="s">
        <v>24</v>
      </c>
      <c r="E161" s="31" t="s">
        <v>20</v>
      </c>
      <c r="F161" s="79"/>
      <c r="G161" s="34"/>
      <c r="L161" s="49"/>
      <c r="M161" s="50"/>
      <c r="N161" s="34"/>
      <c r="O161" s="34"/>
      <c r="P161" s="34"/>
      <c r="Q161" s="34"/>
      <c r="R161" s="34"/>
      <c r="S161" s="34"/>
      <c r="T161" s="34"/>
      <c r="U161" s="34"/>
      <c r="V161" s="34"/>
    </row>
    <row r="162" spans="2:22" s="51" customFormat="1" ht="18" customHeight="1" x14ac:dyDescent="0.35">
      <c r="B162" s="94" t="s">
        <v>61</v>
      </c>
      <c r="C162" s="141" t="e">
        <f>SUM(C154:C155)/C156</f>
        <v>#REF!</v>
      </c>
      <c r="D162" s="104" t="s">
        <v>72</v>
      </c>
      <c r="E162" s="99" t="s">
        <v>20</v>
      </c>
      <c r="F162" s="98"/>
      <c r="G162" s="34"/>
      <c r="L162" s="49"/>
      <c r="M162" s="50"/>
      <c r="N162" s="34"/>
      <c r="O162" s="34"/>
      <c r="P162" s="34"/>
      <c r="Q162" s="34"/>
      <c r="R162" s="34"/>
      <c r="S162" s="34"/>
      <c r="T162" s="34"/>
      <c r="U162" s="34"/>
      <c r="V162" s="34"/>
    </row>
    <row r="163" spans="2:22" s="51" customFormat="1" ht="11" customHeight="1" x14ac:dyDescent="0.35">
      <c r="B163" s="34"/>
      <c r="C163" s="34"/>
      <c r="D163" s="34"/>
      <c r="E163" s="34"/>
      <c r="F163" s="34"/>
      <c r="G163" s="34"/>
      <c r="L163" s="49"/>
      <c r="M163" s="50"/>
      <c r="N163" s="34"/>
      <c r="O163" s="34"/>
      <c r="P163" s="34"/>
      <c r="Q163" s="34"/>
      <c r="R163" s="34"/>
      <c r="S163" s="34"/>
      <c r="T163" s="34"/>
      <c r="U163" s="34"/>
      <c r="V163" s="34"/>
    </row>
    <row r="164" spans="2:22" s="51" customFormat="1" ht="22" customHeight="1" x14ac:dyDescent="0.35">
      <c r="B164" s="143" t="s">
        <v>122</v>
      </c>
      <c r="C164" s="134"/>
      <c r="D164" s="134"/>
      <c r="E164" s="134"/>
      <c r="F164" s="134"/>
      <c r="G164" s="34"/>
      <c r="H164" s="51" t="s">
        <v>3</v>
      </c>
      <c r="I164" s="51" t="s">
        <v>141</v>
      </c>
      <c r="L164" s="49"/>
      <c r="M164" s="50"/>
      <c r="N164" s="34"/>
      <c r="O164" s="34"/>
      <c r="P164" s="34"/>
      <c r="Q164" s="34"/>
      <c r="R164" s="34"/>
      <c r="S164" s="34"/>
      <c r="T164" s="34"/>
      <c r="U164" s="34"/>
      <c r="V164" s="34"/>
    </row>
    <row r="165" spans="2:22" s="51" customFormat="1" ht="18" customHeight="1" x14ac:dyDescent="0.35">
      <c r="B165" s="83" t="str">
        <f>B11</f>
        <v>Residents on Weekly FOGO (sustainable service)</v>
      </c>
      <c r="C165" s="54" t="e">
        <f>SUM(C166:C168)</f>
        <v>#REF!</v>
      </c>
      <c r="D165" s="47" t="s">
        <v>24</v>
      </c>
      <c r="E165" s="48" t="s">
        <v>20</v>
      </c>
      <c r="F165" s="78"/>
      <c r="G165" s="34"/>
      <c r="H165" s="73" t="e">
        <f>SUM(H166:H168)</f>
        <v>#REF!</v>
      </c>
      <c r="I165" s="72" t="e">
        <f>SUM(I166:I168)</f>
        <v>#REF!</v>
      </c>
      <c r="L165" s="49"/>
      <c r="M165" s="50"/>
      <c r="N165" s="34"/>
      <c r="O165" s="34"/>
      <c r="P165" s="34"/>
      <c r="Q165" s="34"/>
      <c r="R165" s="34"/>
      <c r="S165" s="34"/>
      <c r="T165" s="34"/>
      <c r="U165" s="34"/>
      <c r="V165" s="34"/>
    </row>
    <row r="166" spans="2:22" s="51" customFormat="1" ht="18" customHeight="1" x14ac:dyDescent="0.35">
      <c r="B166" s="82" t="s">
        <v>12</v>
      </c>
      <c r="C166" s="8" t="e">
        <f>C53-SUM(C73,C75)</f>
        <v>#REF!</v>
      </c>
      <c r="D166" s="2" t="s">
        <v>24</v>
      </c>
      <c r="E166" s="6" t="s">
        <v>20</v>
      </c>
      <c r="F166" s="79"/>
      <c r="G166" s="34"/>
      <c r="H166" s="64" t="e">
        <f>C166*52/1000</f>
        <v>#REF!</v>
      </c>
      <c r="I166" s="52" t="e">
        <f>H166*SUM($C$111:$C$112)</f>
        <v>#REF!</v>
      </c>
      <c r="L166" s="49"/>
      <c r="M166" s="50"/>
      <c r="N166" s="34"/>
      <c r="O166" s="34"/>
      <c r="P166" s="34"/>
      <c r="Q166" s="34"/>
      <c r="R166" s="34"/>
      <c r="S166" s="34"/>
      <c r="T166" s="34"/>
      <c r="U166" s="34"/>
      <c r="V166" s="34"/>
    </row>
    <row r="167" spans="2:22" s="51" customFormat="1" ht="18" customHeight="1" x14ac:dyDescent="0.35">
      <c r="B167" s="82" t="s">
        <v>13</v>
      </c>
      <c r="C167" s="8" t="e">
        <f>C54</f>
        <v>#REF!</v>
      </c>
      <c r="D167" s="2" t="s">
        <v>24</v>
      </c>
      <c r="E167" s="6" t="s">
        <v>20</v>
      </c>
      <c r="F167" s="79"/>
      <c r="G167" s="34"/>
      <c r="H167" s="64" t="e">
        <f>C167*52/1000</f>
        <v>#REF!</v>
      </c>
      <c r="I167" s="52" t="e">
        <f>H167*$C$113</f>
        <v>#REF!</v>
      </c>
      <c r="L167" s="49"/>
      <c r="M167" s="50"/>
      <c r="N167" s="34"/>
      <c r="O167" s="34"/>
      <c r="P167" s="34"/>
      <c r="Q167" s="34"/>
      <c r="R167" s="34"/>
      <c r="S167" s="34"/>
      <c r="T167" s="34"/>
      <c r="U167" s="34"/>
      <c r="V167" s="34"/>
    </row>
    <row r="168" spans="2:22" s="51" customFormat="1" ht="18" customHeight="1" x14ac:dyDescent="0.35">
      <c r="B168" s="82" t="s">
        <v>15</v>
      </c>
      <c r="C168" s="8" t="e">
        <f>C55+SUM(C73,C75,C76)</f>
        <v>#REF!</v>
      </c>
      <c r="D168" s="2" t="s">
        <v>24</v>
      </c>
      <c r="E168" s="6" t="s">
        <v>20</v>
      </c>
      <c r="F168" s="79"/>
      <c r="G168" s="34"/>
      <c r="H168" s="64" t="e">
        <f>C168*52/1000</f>
        <v>#REF!</v>
      </c>
      <c r="I168" s="52" t="e">
        <f>H168*$C$114</f>
        <v>#REF!</v>
      </c>
      <c r="L168" s="49"/>
      <c r="M168" s="50"/>
      <c r="N168" s="34"/>
      <c r="O168" s="34"/>
      <c r="P168" s="34"/>
      <c r="Q168" s="34"/>
      <c r="R168" s="34"/>
      <c r="S168" s="34"/>
      <c r="T168" s="34"/>
      <c r="U168" s="34"/>
      <c r="V168" s="34"/>
    </row>
    <row r="169" spans="2:22" s="49" customFormat="1" ht="18" customHeight="1" x14ac:dyDescent="0.35">
      <c r="B169" s="83" t="str">
        <f>B15</f>
        <v>Residents on Weekly GW (old service)</v>
      </c>
      <c r="C169" s="54" t="e">
        <f>SUM(C170:C172)</f>
        <v>#REF!</v>
      </c>
      <c r="D169" s="47" t="s">
        <v>24</v>
      </c>
      <c r="E169" s="48" t="s">
        <v>20</v>
      </c>
      <c r="F169" s="78"/>
      <c r="G169" s="34"/>
      <c r="H169" s="73" t="e">
        <f>SUM(H170:H172)</f>
        <v>#REF!</v>
      </c>
      <c r="I169" s="72" t="e">
        <f>SUM(I170:I172)</f>
        <v>#REF!</v>
      </c>
      <c r="J169" s="51"/>
      <c r="K169" s="51"/>
      <c r="M169" s="50"/>
      <c r="N169" s="34"/>
      <c r="O169" s="34"/>
      <c r="P169" s="34"/>
      <c r="Q169" s="34"/>
      <c r="R169" s="34"/>
      <c r="S169" s="34"/>
      <c r="T169" s="34"/>
      <c r="U169" s="34"/>
      <c r="V169" s="34"/>
    </row>
    <row r="170" spans="2:22" s="49" customFormat="1" ht="18" customHeight="1" x14ac:dyDescent="0.35">
      <c r="B170" s="82" t="s">
        <v>12</v>
      </c>
      <c r="C170" s="8" t="e">
        <f>C53</f>
        <v>#REF!</v>
      </c>
      <c r="D170" s="2" t="s">
        <v>24</v>
      </c>
      <c r="E170" s="6" t="s">
        <v>20</v>
      </c>
      <c r="F170" s="79"/>
      <c r="G170" s="34"/>
      <c r="H170" s="64" t="e">
        <f>C170*52/1000</f>
        <v>#REF!</v>
      </c>
      <c r="I170" s="52" t="e">
        <f>H170*SUM($C$111:$C$112)</f>
        <v>#REF!</v>
      </c>
      <c r="J170" s="51"/>
      <c r="K170" s="51"/>
      <c r="M170" s="50"/>
      <c r="N170" s="34"/>
      <c r="O170" s="34"/>
      <c r="P170" s="34"/>
      <c r="Q170" s="34"/>
      <c r="R170" s="34"/>
      <c r="S170" s="34"/>
      <c r="T170" s="34"/>
      <c r="U170" s="34"/>
      <c r="V170" s="34"/>
    </row>
    <row r="171" spans="2:22" s="49" customFormat="1" ht="18" customHeight="1" x14ac:dyDescent="0.35">
      <c r="B171" s="82" t="s">
        <v>13</v>
      </c>
      <c r="C171" s="8" t="e">
        <f>C54</f>
        <v>#REF!</v>
      </c>
      <c r="D171" s="2" t="s">
        <v>24</v>
      </c>
      <c r="E171" s="6" t="s">
        <v>20</v>
      </c>
      <c r="F171" s="79"/>
      <c r="G171" s="34"/>
      <c r="H171" s="64" t="e">
        <f>C171*52/1000</f>
        <v>#REF!</v>
      </c>
      <c r="I171" s="52" t="e">
        <f>H171*$C$113</f>
        <v>#REF!</v>
      </c>
      <c r="J171" s="51"/>
      <c r="K171" s="51"/>
      <c r="M171" s="50"/>
      <c r="N171" s="34"/>
      <c r="O171" s="34"/>
      <c r="P171" s="34"/>
      <c r="Q171" s="34"/>
      <c r="R171" s="34"/>
      <c r="S171" s="34"/>
      <c r="T171" s="34"/>
      <c r="U171" s="34"/>
      <c r="V171" s="34"/>
    </row>
    <row r="172" spans="2:22" s="49" customFormat="1" ht="18" customHeight="1" x14ac:dyDescent="0.35">
      <c r="B172" s="82" t="s">
        <v>15</v>
      </c>
      <c r="C172" s="8" t="e">
        <f>C55</f>
        <v>#REF!</v>
      </c>
      <c r="D172" s="2" t="s">
        <v>24</v>
      </c>
      <c r="E172" s="6" t="s">
        <v>20</v>
      </c>
      <c r="F172" s="79"/>
      <c r="G172" s="34"/>
      <c r="H172" s="64" t="e">
        <f>C172*52/1000</f>
        <v>#REF!</v>
      </c>
      <c r="I172" s="52" t="e">
        <f>H172*$C$114</f>
        <v>#REF!</v>
      </c>
      <c r="J172" s="51"/>
      <c r="K172" s="51"/>
      <c r="M172" s="50"/>
      <c r="N172" s="34"/>
      <c r="O172" s="34"/>
      <c r="P172" s="34"/>
      <c r="Q172" s="34"/>
      <c r="R172" s="34"/>
      <c r="S172" s="34"/>
      <c r="T172" s="34"/>
      <c r="U172" s="34"/>
      <c r="V172" s="34"/>
    </row>
    <row r="173" spans="2:22" s="49" customFormat="1" ht="11" customHeight="1" x14ac:dyDescent="0.35">
      <c r="B173" s="34"/>
      <c r="C173" s="34"/>
      <c r="D173" s="34"/>
      <c r="E173" s="34"/>
      <c r="F173" s="34"/>
      <c r="G173" s="34"/>
      <c r="H173" s="51"/>
      <c r="I173" s="51"/>
      <c r="J173" s="51"/>
      <c r="K173" s="51"/>
      <c r="M173" s="50"/>
      <c r="N173" s="34"/>
      <c r="O173" s="34"/>
      <c r="P173" s="34"/>
      <c r="Q173" s="34"/>
      <c r="R173" s="34"/>
      <c r="S173" s="34"/>
      <c r="T173" s="34"/>
      <c r="U173" s="34"/>
      <c r="V173" s="34"/>
    </row>
    <row r="174" spans="2:22" s="51" customFormat="1" ht="22" customHeight="1" x14ac:dyDescent="0.35">
      <c r="B174" s="143" t="s">
        <v>122</v>
      </c>
      <c r="C174" s="134"/>
      <c r="D174" s="134"/>
      <c r="E174" s="134"/>
      <c r="F174" s="134"/>
      <c r="G174" s="34"/>
      <c r="H174" s="51" t="s">
        <v>132</v>
      </c>
      <c r="J174" s="51" t="s">
        <v>123</v>
      </c>
      <c r="L174" s="49"/>
      <c r="M174" s="50"/>
      <c r="N174" s="34"/>
      <c r="O174" s="34"/>
      <c r="P174" s="34"/>
      <c r="Q174" s="34"/>
      <c r="R174" s="34"/>
      <c r="S174" s="34"/>
      <c r="T174" s="34"/>
      <c r="U174" s="34"/>
      <c r="V174" s="34"/>
    </row>
    <row r="175" spans="2:22" s="49" customFormat="1" ht="18" customHeight="1" x14ac:dyDescent="0.35">
      <c r="B175" s="83" t="str">
        <f>B11</f>
        <v>Residents on Weekly FOGO (sustainable service)</v>
      </c>
      <c r="C175" s="42" t="e">
        <f>SUM(C176:C178)</f>
        <v>#REF!</v>
      </c>
      <c r="D175" s="47" t="s">
        <v>3</v>
      </c>
      <c r="E175" s="48" t="s">
        <v>20</v>
      </c>
      <c r="F175" s="78"/>
      <c r="G175" s="34"/>
      <c r="H175" s="68" t="e">
        <f>SUM(H176:H178)</f>
        <v>#REF!</v>
      </c>
      <c r="I175" s="51"/>
      <c r="J175" s="52" t="e">
        <f>H175/C26</f>
        <v>#REF!</v>
      </c>
      <c r="K175" s="51" t="e">
        <f>J175=C214</f>
        <v>#REF!</v>
      </c>
      <c r="M175" s="50"/>
      <c r="N175" s="34"/>
      <c r="O175" s="34"/>
      <c r="P175" s="34"/>
      <c r="Q175" s="34"/>
      <c r="R175" s="34"/>
      <c r="S175" s="34"/>
      <c r="T175" s="34"/>
      <c r="U175" s="34"/>
      <c r="V175" s="34"/>
    </row>
    <row r="176" spans="2:22" s="49" customFormat="1" ht="18" customHeight="1" x14ac:dyDescent="0.35">
      <c r="B176" s="82" t="s">
        <v>12</v>
      </c>
      <c r="C176" s="1" t="e">
        <f>C166*C26*52/1000</f>
        <v>#REF!</v>
      </c>
      <c r="D176" s="2" t="s">
        <v>3</v>
      </c>
      <c r="E176" s="6" t="s">
        <v>20</v>
      </c>
      <c r="F176" s="79"/>
      <c r="G176" s="37"/>
      <c r="H176" s="52" t="e">
        <f>C176*(SUM(C111:C112))</f>
        <v>#REF!</v>
      </c>
      <c r="I176" s="51"/>
      <c r="J176" s="51"/>
      <c r="K176" s="51"/>
      <c r="M176" s="50"/>
      <c r="N176" s="34"/>
      <c r="O176" s="34"/>
      <c r="P176" s="34"/>
      <c r="Q176" s="34"/>
      <c r="R176" s="34"/>
      <c r="S176" s="34"/>
      <c r="T176" s="34"/>
      <c r="U176" s="34"/>
      <c r="V176" s="34"/>
    </row>
    <row r="177" spans="2:22" s="49" customFormat="1" ht="18" customHeight="1" x14ac:dyDescent="0.35">
      <c r="B177" s="82" t="s">
        <v>13</v>
      </c>
      <c r="C177" s="1" t="e">
        <f>C167*C27*52/1000</f>
        <v>#REF!</v>
      </c>
      <c r="D177" s="2" t="s">
        <v>3</v>
      </c>
      <c r="E177" s="6" t="s">
        <v>20</v>
      </c>
      <c r="F177" s="79"/>
      <c r="G177" s="37"/>
      <c r="H177" s="52" t="e">
        <f>C177*C113</f>
        <v>#REF!</v>
      </c>
      <c r="I177" s="51"/>
      <c r="J177" s="51"/>
      <c r="K177" s="51"/>
      <c r="M177" s="50"/>
      <c r="N177" s="34"/>
      <c r="O177" s="34"/>
      <c r="P177" s="34"/>
      <c r="Q177" s="34"/>
      <c r="R177" s="34"/>
      <c r="S177" s="34"/>
      <c r="T177" s="34"/>
      <c r="U177" s="34"/>
      <c r="V177" s="34"/>
    </row>
    <row r="178" spans="2:22" s="49" customFormat="1" ht="18" customHeight="1" x14ac:dyDescent="0.35">
      <c r="B178" s="82" t="s">
        <v>15</v>
      </c>
      <c r="C178" s="1" t="e">
        <f>C168*C28*52/1000</f>
        <v>#REF!</v>
      </c>
      <c r="D178" s="2" t="s">
        <v>3</v>
      </c>
      <c r="E178" s="6" t="s">
        <v>20</v>
      </c>
      <c r="F178" s="79"/>
      <c r="G178" s="37"/>
      <c r="H178" s="52" t="e">
        <f>C178*C114</f>
        <v>#REF!</v>
      </c>
      <c r="I178" s="51"/>
      <c r="J178" s="51"/>
      <c r="K178" s="51"/>
      <c r="M178" s="50"/>
      <c r="N178" s="34"/>
      <c r="O178" s="34"/>
      <c r="P178" s="34"/>
      <c r="Q178" s="34"/>
      <c r="R178" s="34"/>
      <c r="S178" s="34"/>
      <c r="T178" s="34"/>
      <c r="U178" s="34"/>
      <c r="V178" s="34"/>
    </row>
    <row r="179" spans="2:22" s="49" customFormat="1" ht="18" customHeight="1" x14ac:dyDescent="0.35">
      <c r="B179" s="83" t="str">
        <f>B15</f>
        <v>Residents on Weekly GW (old service)</v>
      </c>
      <c r="C179" s="42" t="e">
        <f>SUM(C180:C182)</f>
        <v>#REF!</v>
      </c>
      <c r="D179" s="47" t="s">
        <v>3</v>
      </c>
      <c r="E179" s="48" t="s">
        <v>20</v>
      </c>
      <c r="F179" s="78"/>
      <c r="G179" s="34"/>
      <c r="H179" s="68" t="e">
        <f>SUM(H180:H182)</f>
        <v>#REF!</v>
      </c>
      <c r="I179" s="51"/>
      <c r="J179" s="52" t="e">
        <f>H179/C30</f>
        <v>#REF!</v>
      </c>
      <c r="K179" s="51" t="e">
        <f>J179=C218</f>
        <v>#REF!</v>
      </c>
      <c r="M179" s="50"/>
      <c r="N179" s="34"/>
      <c r="O179" s="34"/>
      <c r="P179" s="34"/>
      <c r="Q179" s="34"/>
      <c r="R179" s="34"/>
      <c r="S179" s="34"/>
      <c r="T179" s="34"/>
      <c r="U179" s="34"/>
      <c r="V179" s="34"/>
    </row>
    <row r="180" spans="2:22" s="49" customFormat="1" ht="18" customHeight="1" x14ac:dyDescent="0.35">
      <c r="B180" s="82" t="s">
        <v>12</v>
      </c>
      <c r="C180" s="1" t="e">
        <f>C170*C30*52/1000</f>
        <v>#REF!</v>
      </c>
      <c r="D180" s="2" t="s">
        <v>3</v>
      </c>
      <c r="E180" s="6" t="s">
        <v>20</v>
      </c>
      <c r="F180" s="79"/>
      <c r="G180" s="34"/>
      <c r="H180" s="52" t="e">
        <f>C180*SUM(C111:C112)</f>
        <v>#REF!</v>
      </c>
      <c r="I180" s="51"/>
      <c r="J180" s="51"/>
      <c r="K180" s="51"/>
      <c r="M180" s="50"/>
      <c r="N180" s="34"/>
      <c r="O180" s="34"/>
      <c r="P180" s="34"/>
      <c r="Q180" s="34"/>
      <c r="R180" s="34"/>
      <c r="S180" s="34"/>
      <c r="T180" s="34"/>
      <c r="U180" s="34"/>
      <c r="V180" s="34"/>
    </row>
    <row r="181" spans="2:22" s="49" customFormat="1" ht="18" customHeight="1" x14ac:dyDescent="0.35">
      <c r="B181" s="82" t="s">
        <v>13</v>
      </c>
      <c r="C181" s="1" t="e">
        <f>C171*C31*52/1000</f>
        <v>#REF!</v>
      </c>
      <c r="D181" s="2" t="s">
        <v>3</v>
      </c>
      <c r="E181" s="6" t="s">
        <v>20</v>
      </c>
      <c r="F181" s="79"/>
      <c r="G181" s="34"/>
      <c r="H181" s="52" t="e">
        <f>C181*C113</f>
        <v>#REF!</v>
      </c>
      <c r="I181" s="51"/>
      <c r="J181" s="51"/>
      <c r="K181" s="51"/>
      <c r="M181" s="50"/>
      <c r="N181" s="34"/>
      <c r="O181" s="34"/>
      <c r="P181" s="34"/>
      <c r="Q181" s="34"/>
      <c r="R181" s="34"/>
      <c r="S181" s="34"/>
      <c r="T181" s="34"/>
      <c r="U181" s="34"/>
      <c r="V181" s="34"/>
    </row>
    <row r="182" spans="2:22" s="49" customFormat="1" ht="18" customHeight="1" x14ac:dyDescent="0.35">
      <c r="B182" s="82" t="s">
        <v>15</v>
      </c>
      <c r="C182" s="1" t="e">
        <f>C172*C32*52/1000</f>
        <v>#REF!</v>
      </c>
      <c r="D182" s="2" t="s">
        <v>3</v>
      </c>
      <c r="E182" s="6" t="s">
        <v>20</v>
      </c>
      <c r="F182" s="79"/>
      <c r="G182" s="34"/>
      <c r="H182" s="52" t="e">
        <f>C182*C114</f>
        <v>#REF!</v>
      </c>
      <c r="I182" s="51"/>
      <c r="J182" s="51"/>
      <c r="K182" s="51"/>
      <c r="M182" s="50"/>
      <c r="N182" s="34"/>
      <c r="O182" s="34"/>
      <c r="P182" s="34"/>
      <c r="Q182" s="34"/>
      <c r="R182" s="34"/>
      <c r="S182" s="34"/>
      <c r="T182" s="34"/>
      <c r="U182" s="34"/>
      <c r="V182" s="34"/>
    </row>
    <row r="183" spans="2:22" s="49" customFormat="1" ht="18" customHeight="1" x14ac:dyDescent="0.35">
      <c r="B183" s="94" t="s">
        <v>0</v>
      </c>
      <c r="C183" s="107" t="e">
        <f>SUM(C175,C179)</f>
        <v>#REF!</v>
      </c>
      <c r="D183" s="96" t="s">
        <v>3</v>
      </c>
      <c r="E183" s="97" t="s">
        <v>20</v>
      </c>
      <c r="F183" s="98"/>
      <c r="G183" s="37"/>
      <c r="H183" s="52" t="e">
        <f>C183=C156</f>
        <v>#REF!</v>
      </c>
      <c r="I183" s="51"/>
      <c r="J183" s="51"/>
      <c r="K183" s="51"/>
      <c r="M183" s="50"/>
      <c r="N183" s="34"/>
      <c r="O183" s="34"/>
      <c r="P183" s="34"/>
      <c r="Q183" s="34"/>
      <c r="R183" s="34"/>
      <c r="S183" s="34"/>
      <c r="T183" s="34"/>
      <c r="U183" s="34"/>
      <c r="V183" s="34"/>
    </row>
    <row r="184" spans="2:22" s="49" customFormat="1" ht="11" customHeight="1" x14ac:dyDescent="0.35">
      <c r="B184" s="34"/>
      <c r="C184" s="34"/>
      <c r="D184" s="34"/>
      <c r="E184" s="34"/>
      <c r="F184" s="34"/>
      <c r="G184" s="34"/>
      <c r="H184" s="51"/>
      <c r="I184" s="51"/>
      <c r="J184" s="51"/>
      <c r="K184" s="51"/>
      <c r="M184" s="50"/>
      <c r="N184" s="34"/>
      <c r="O184" s="34"/>
      <c r="P184" s="34"/>
      <c r="Q184" s="34"/>
      <c r="R184" s="34"/>
      <c r="S184" s="34"/>
      <c r="T184" s="34"/>
      <c r="U184" s="34"/>
      <c r="V184" s="34"/>
    </row>
    <row r="185" spans="2:22" s="51" customFormat="1" ht="22" customHeight="1" x14ac:dyDescent="0.35">
      <c r="B185" s="143" t="s">
        <v>115</v>
      </c>
      <c r="C185" s="134"/>
      <c r="D185" s="134"/>
      <c r="E185" s="134"/>
      <c r="F185" s="134"/>
      <c r="G185" s="34"/>
      <c r="L185" s="49"/>
      <c r="M185" s="50"/>
      <c r="N185" s="34"/>
      <c r="O185" s="34"/>
      <c r="P185" s="34"/>
      <c r="Q185" s="34"/>
      <c r="R185" s="34"/>
      <c r="S185" s="34"/>
      <c r="T185" s="34"/>
      <c r="U185" s="34"/>
      <c r="V185" s="34"/>
    </row>
    <row r="186" spans="2:22" s="49" customFormat="1" ht="18" customHeight="1" x14ac:dyDescent="0.35">
      <c r="B186" s="46" t="str">
        <f>B11</f>
        <v>Residents on Weekly FOGO (sustainable service)</v>
      </c>
      <c r="C186" s="62" t="e">
        <f>SUM(C187:C189)</f>
        <v>#REF!</v>
      </c>
      <c r="D186" s="47" t="s">
        <v>17</v>
      </c>
      <c r="E186" s="48" t="s">
        <v>20</v>
      </c>
      <c r="F186" s="78"/>
      <c r="G186" s="39"/>
      <c r="H186" s="69"/>
      <c r="I186" s="51"/>
      <c r="J186" s="65"/>
      <c r="K186" s="51"/>
      <c r="M186" s="50"/>
      <c r="N186" s="34"/>
      <c r="O186" s="34"/>
      <c r="P186" s="34"/>
      <c r="Q186" s="34"/>
      <c r="R186" s="34"/>
      <c r="S186" s="34"/>
      <c r="T186" s="34"/>
      <c r="U186" s="34"/>
      <c r="V186" s="34"/>
    </row>
    <row r="187" spans="2:22" s="51" customFormat="1" ht="18" customHeight="1" x14ac:dyDescent="0.35">
      <c r="B187" s="82" t="s">
        <v>12</v>
      </c>
      <c r="C187" s="4" t="e">
        <f>C36*C102</f>
        <v>#REF!</v>
      </c>
      <c r="D187" s="2" t="s">
        <v>17</v>
      </c>
      <c r="E187" s="6" t="s">
        <v>20</v>
      </c>
      <c r="F187" s="79"/>
      <c r="G187" s="39"/>
      <c r="H187" s="63"/>
      <c r="J187" s="65"/>
      <c r="L187" s="49"/>
      <c r="M187" s="50"/>
      <c r="N187" s="34"/>
      <c r="O187" s="34"/>
      <c r="P187" s="34"/>
      <c r="Q187" s="34"/>
      <c r="R187" s="34"/>
      <c r="S187" s="34"/>
      <c r="T187" s="34"/>
      <c r="U187" s="34"/>
      <c r="V187" s="34"/>
    </row>
    <row r="188" spans="2:22" s="51" customFormat="1" ht="18" customHeight="1" x14ac:dyDescent="0.35">
      <c r="B188" s="82" t="s">
        <v>13</v>
      </c>
      <c r="C188" s="4" t="e">
        <f>C37*C103</f>
        <v>#REF!</v>
      </c>
      <c r="D188" s="2" t="s">
        <v>17</v>
      </c>
      <c r="E188" s="6" t="s">
        <v>20</v>
      </c>
      <c r="F188" s="79"/>
      <c r="G188" s="39"/>
      <c r="L188" s="49"/>
      <c r="M188" s="50"/>
      <c r="N188" s="34"/>
      <c r="O188" s="34"/>
      <c r="P188" s="34"/>
      <c r="Q188" s="34"/>
      <c r="R188" s="34"/>
      <c r="S188" s="34"/>
      <c r="T188" s="34"/>
      <c r="U188" s="34"/>
      <c r="V188" s="34"/>
    </row>
    <row r="189" spans="2:22" s="51" customFormat="1" ht="18" customHeight="1" x14ac:dyDescent="0.35">
      <c r="B189" s="82" t="s">
        <v>15</v>
      </c>
      <c r="C189" s="4" t="e">
        <f>C38*C104</f>
        <v>#REF!</v>
      </c>
      <c r="D189" s="2" t="s">
        <v>17</v>
      </c>
      <c r="E189" s="6" t="s">
        <v>20</v>
      </c>
      <c r="F189" s="79"/>
      <c r="G189" s="39"/>
      <c r="L189" s="49"/>
      <c r="M189" s="50"/>
      <c r="N189" s="34"/>
      <c r="O189" s="34"/>
      <c r="P189" s="34"/>
      <c r="Q189" s="34"/>
      <c r="R189" s="34"/>
      <c r="S189" s="34"/>
      <c r="T189" s="34"/>
      <c r="U189" s="34"/>
      <c r="V189" s="34"/>
    </row>
    <row r="190" spans="2:22" s="51" customFormat="1" ht="18" customHeight="1" x14ac:dyDescent="0.35">
      <c r="B190" s="46" t="str">
        <f>B15</f>
        <v>Residents on Weekly GW (old service)</v>
      </c>
      <c r="C190" s="62" t="e">
        <f>SUM(C191:C193)</f>
        <v>#REF!</v>
      </c>
      <c r="D190" s="47" t="s">
        <v>17</v>
      </c>
      <c r="E190" s="48" t="s">
        <v>20</v>
      </c>
      <c r="F190" s="78"/>
      <c r="G190" s="39"/>
      <c r="L190" s="49"/>
      <c r="M190" s="50"/>
      <c r="N190" s="34"/>
      <c r="O190" s="34"/>
      <c r="P190" s="34"/>
      <c r="Q190" s="34"/>
      <c r="R190" s="34"/>
      <c r="S190" s="34"/>
      <c r="T190" s="34"/>
      <c r="U190" s="34"/>
      <c r="V190" s="34"/>
    </row>
    <row r="191" spans="2:22" s="51" customFormat="1" ht="18" customHeight="1" x14ac:dyDescent="0.35">
      <c r="B191" s="82" t="s">
        <v>12</v>
      </c>
      <c r="C191" s="4" t="e">
        <f>(($C$41/2)*C106)+(($C$41/2)*C102)</f>
        <v>#REF!</v>
      </c>
      <c r="D191" s="2" t="s">
        <v>17</v>
      </c>
      <c r="E191" s="6" t="s">
        <v>20</v>
      </c>
      <c r="F191" s="79" t="s">
        <v>173</v>
      </c>
      <c r="G191" s="61"/>
      <c r="H191" s="61"/>
      <c r="I191" s="132"/>
      <c r="J191" s="52"/>
      <c r="L191" s="49"/>
      <c r="M191" s="50"/>
      <c r="N191" s="34"/>
      <c r="O191" s="34"/>
      <c r="P191" s="34"/>
      <c r="Q191" s="34"/>
      <c r="R191" s="34"/>
      <c r="S191" s="34"/>
      <c r="T191" s="34"/>
      <c r="U191" s="34"/>
      <c r="V191" s="34"/>
    </row>
    <row r="192" spans="2:22" s="51" customFormat="1" ht="18" customHeight="1" x14ac:dyDescent="0.35">
      <c r="B192" s="82" t="s">
        <v>13</v>
      </c>
      <c r="C192" s="4" t="e">
        <f>C42*C107</f>
        <v>#REF!</v>
      </c>
      <c r="D192" s="2" t="s">
        <v>17</v>
      </c>
      <c r="E192" s="6" t="s">
        <v>20</v>
      </c>
      <c r="F192" s="79"/>
      <c r="G192" s="39"/>
      <c r="L192" s="49"/>
      <c r="M192" s="50"/>
      <c r="N192" s="34"/>
      <c r="O192" s="34"/>
      <c r="P192" s="34"/>
      <c r="Q192" s="34"/>
      <c r="R192" s="34"/>
      <c r="S192" s="34"/>
      <c r="T192" s="34"/>
      <c r="U192" s="34"/>
      <c r="V192" s="34"/>
    </row>
    <row r="193" spans="2:22" s="51" customFormat="1" ht="18" customHeight="1" x14ac:dyDescent="0.35">
      <c r="B193" s="82" t="s">
        <v>15</v>
      </c>
      <c r="C193" s="4" t="e">
        <f>C43*C108</f>
        <v>#REF!</v>
      </c>
      <c r="D193" s="2" t="s">
        <v>17</v>
      </c>
      <c r="E193" s="6" t="s">
        <v>20</v>
      </c>
      <c r="F193" s="79"/>
      <c r="G193" s="39"/>
      <c r="L193" s="49"/>
      <c r="M193" s="50"/>
      <c r="N193" s="34"/>
      <c r="O193" s="34"/>
      <c r="P193" s="34"/>
      <c r="Q193" s="34"/>
      <c r="R193" s="34"/>
      <c r="S193" s="34"/>
      <c r="T193" s="34"/>
      <c r="U193" s="34"/>
      <c r="V193" s="34"/>
    </row>
    <row r="194" spans="2:22" s="51" customFormat="1" ht="18" customHeight="1" x14ac:dyDescent="0.35">
      <c r="B194" s="94" t="s">
        <v>117</v>
      </c>
      <c r="C194" s="95" t="e">
        <f>SUM(C186,C190)</f>
        <v>#REF!</v>
      </c>
      <c r="D194" s="104" t="s">
        <v>17</v>
      </c>
      <c r="E194" s="99" t="s">
        <v>20</v>
      </c>
      <c r="F194" s="105"/>
      <c r="G194" s="37"/>
      <c r="H194" s="70" t="e">
        <f>C194-#REF!</f>
        <v>#REF!</v>
      </c>
      <c r="I194" s="123" t="e">
        <f>H194/350000</f>
        <v>#REF!</v>
      </c>
      <c r="L194" s="49"/>
      <c r="M194" s="50"/>
      <c r="N194" s="34"/>
      <c r="O194" s="34"/>
      <c r="P194" s="34"/>
      <c r="Q194" s="34"/>
      <c r="R194" s="34"/>
      <c r="S194" s="34"/>
      <c r="T194" s="34"/>
      <c r="U194" s="34"/>
      <c r="V194" s="34"/>
    </row>
    <row r="195" spans="2:22" s="51" customFormat="1" ht="11" customHeight="1" x14ac:dyDescent="0.35">
      <c r="B195" s="34"/>
      <c r="C195" s="34"/>
      <c r="D195" s="34"/>
      <c r="E195" s="34"/>
      <c r="F195" s="34"/>
      <c r="G195" s="34"/>
      <c r="L195" s="49"/>
      <c r="M195" s="50"/>
      <c r="N195" s="34"/>
      <c r="O195" s="34"/>
      <c r="P195" s="34"/>
      <c r="Q195" s="34"/>
      <c r="R195" s="34"/>
      <c r="S195" s="34"/>
      <c r="T195" s="34"/>
      <c r="U195" s="34"/>
      <c r="V195" s="34"/>
    </row>
    <row r="196" spans="2:22" s="51" customFormat="1" ht="22" customHeight="1" x14ac:dyDescent="0.35">
      <c r="B196" s="143" t="s">
        <v>116</v>
      </c>
      <c r="C196" s="134"/>
      <c r="D196" s="134"/>
      <c r="E196" s="134"/>
      <c r="F196" s="134"/>
      <c r="G196" s="34"/>
      <c r="L196" s="49"/>
      <c r="M196" s="50"/>
      <c r="N196" s="34"/>
      <c r="O196" s="34"/>
      <c r="P196" s="34"/>
      <c r="Q196" s="34"/>
      <c r="R196" s="34"/>
      <c r="S196" s="34"/>
      <c r="T196" s="34"/>
      <c r="U196" s="34"/>
      <c r="V196" s="34"/>
    </row>
    <row r="197" spans="2:22" ht="18" customHeight="1" x14ac:dyDescent="0.35">
      <c r="B197" s="46" t="s">
        <v>42</v>
      </c>
      <c r="C197" s="62" t="e">
        <f>SUM(C198:C199)</f>
        <v>#REF!</v>
      </c>
      <c r="D197" s="47" t="s">
        <v>17</v>
      </c>
      <c r="E197" s="48" t="s">
        <v>20</v>
      </c>
      <c r="F197" s="78"/>
      <c r="G197" s="39"/>
    </row>
    <row r="198" spans="2:22" ht="18" customHeight="1" x14ac:dyDescent="0.35">
      <c r="B198" s="13" t="str">
        <f>B11</f>
        <v>Residents on Weekly FOGO (sustainable service)</v>
      </c>
      <c r="C198" s="4" t="e">
        <f>C176*SUM($C$111:$C$112)</f>
        <v>#REF!</v>
      </c>
      <c r="D198" s="2" t="s">
        <v>17</v>
      </c>
      <c r="E198" s="6" t="s">
        <v>20</v>
      </c>
      <c r="F198" s="79"/>
      <c r="G198" s="39"/>
    </row>
    <row r="199" spans="2:22" ht="18" customHeight="1" x14ac:dyDescent="0.35">
      <c r="B199" s="13" t="str">
        <f>B15</f>
        <v>Residents on Weekly GW (old service)</v>
      </c>
      <c r="C199" s="4" t="e">
        <f>C180*SUM($C$111:$C$112)</f>
        <v>#REF!</v>
      </c>
      <c r="D199" s="91" t="s">
        <v>17</v>
      </c>
      <c r="E199" s="92" t="s">
        <v>20</v>
      </c>
      <c r="F199" s="79"/>
      <c r="G199" s="39"/>
    </row>
    <row r="200" spans="2:22" ht="18" customHeight="1" x14ac:dyDescent="0.35">
      <c r="B200" s="46" t="s">
        <v>43</v>
      </c>
      <c r="C200" s="62" t="e">
        <f>SUM(C201:C202)</f>
        <v>#REF!</v>
      </c>
      <c r="D200" s="47" t="s">
        <v>17</v>
      </c>
      <c r="E200" s="48" t="s">
        <v>20</v>
      </c>
      <c r="F200" s="78"/>
      <c r="G200" s="39"/>
    </row>
    <row r="201" spans="2:22" ht="18" customHeight="1" x14ac:dyDescent="0.35">
      <c r="B201" s="13" t="str">
        <f>B11</f>
        <v>Residents on Weekly FOGO (sustainable service)</v>
      </c>
      <c r="C201" s="4" t="e">
        <f>C177*$C$113</f>
        <v>#REF!</v>
      </c>
      <c r="D201" s="2" t="s">
        <v>17</v>
      </c>
      <c r="E201" s="6" t="s">
        <v>20</v>
      </c>
      <c r="F201" s="79"/>
      <c r="G201" s="39"/>
    </row>
    <row r="202" spans="2:22" ht="18" customHeight="1" x14ac:dyDescent="0.35">
      <c r="B202" s="13" t="str">
        <f>B15</f>
        <v>Residents on Weekly GW (old service)</v>
      </c>
      <c r="C202" s="4" t="e">
        <f>C181*$C$113</f>
        <v>#REF!</v>
      </c>
      <c r="D202" s="91" t="s">
        <v>17</v>
      </c>
      <c r="E202" s="92" t="s">
        <v>20</v>
      </c>
      <c r="F202" s="79"/>
      <c r="G202" s="39"/>
    </row>
    <row r="203" spans="2:22" ht="18" customHeight="1" x14ac:dyDescent="0.35">
      <c r="B203" s="46" t="s">
        <v>44</v>
      </c>
      <c r="C203" s="62" t="e">
        <f>SUM(C204:C205)</f>
        <v>#REF!</v>
      </c>
      <c r="D203" s="47" t="s">
        <v>17</v>
      </c>
      <c r="E203" s="48" t="s">
        <v>20</v>
      </c>
      <c r="F203" s="78"/>
      <c r="G203" s="39"/>
    </row>
    <row r="204" spans="2:22" ht="18" customHeight="1" x14ac:dyDescent="0.35">
      <c r="B204" s="13" t="str">
        <f>B11</f>
        <v>Residents on Weekly FOGO (sustainable service)</v>
      </c>
      <c r="C204" s="4" t="e">
        <f>C178*$C$114</f>
        <v>#REF!</v>
      </c>
      <c r="D204" s="2" t="s">
        <v>17</v>
      </c>
      <c r="E204" s="6" t="s">
        <v>20</v>
      </c>
      <c r="F204" s="79"/>
      <c r="G204" s="39"/>
    </row>
    <row r="205" spans="2:22" ht="18" customHeight="1" x14ac:dyDescent="0.35">
      <c r="B205" s="13" t="str">
        <f>B15</f>
        <v>Residents on Weekly GW (old service)</v>
      </c>
      <c r="C205" s="4" t="e">
        <f>C182*$C$114</f>
        <v>#REF!</v>
      </c>
      <c r="D205" s="91" t="s">
        <v>17</v>
      </c>
      <c r="E205" s="92" t="s">
        <v>20</v>
      </c>
      <c r="F205" s="79"/>
      <c r="G205" s="39"/>
    </row>
    <row r="206" spans="2:22" ht="22.5" customHeight="1" x14ac:dyDescent="0.35">
      <c r="B206" s="94" t="s">
        <v>30</v>
      </c>
      <c r="C206" s="95" t="e">
        <f>SUM(C197,C200,C203)</f>
        <v>#REF!</v>
      </c>
      <c r="D206" s="96" t="s">
        <v>17</v>
      </c>
      <c r="E206" s="97" t="s">
        <v>20</v>
      </c>
      <c r="F206" s="103"/>
      <c r="G206" s="39"/>
    </row>
    <row r="207" spans="2:22" ht="18" customHeight="1" x14ac:dyDescent="0.35">
      <c r="B207" s="100" t="s">
        <v>45</v>
      </c>
      <c r="C207" s="144" t="e">
        <f>#REF!+(C30*C125)</f>
        <v>#REF!</v>
      </c>
      <c r="D207" s="101" t="s">
        <v>17</v>
      </c>
      <c r="E207" s="102" t="s">
        <v>21</v>
      </c>
      <c r="F207" s="34"/>
      <c r="G207" s="39"/>
    </row>
    <row r="208" spans="2:22" ht="20" customHeight="1" x14ac:dyDescent="0.35">
      <c r="B208" s="94" t="s">
        <v>118</v>
      </c>
      <c r="C208" s="95" t="e">
        <f>SUM(C194,C206,C207)</f>
        <v>#REF!</v>
      </c>
      <c r="D208" s="96" t="s">
        <v>17</v>
      </c>
      <c r="E208" s="97" t="s">
        <v>20</v>
      </c>
      <c r="F208" s="98"/>
      <c r="G208" s="39"/>
    </row>
    <row r="209" spans="2:22" ht="20" customHeight="1" x14ac:dyDescent="0.35">
      <c r="B209" s="94" t="s">
        <v>157</v>
      </c>
      <c r="C209" s="95" t="e">
        <f>C208-#REF!</f>
        <v>#REF!</v>
      </c>
      <c r="D209" s="96" t="s">
        <v>17</v>
      </c>
      <c r="E209" s="97" t="s">
        <v>20</v>
      </c>
      <c r="F209" s="98"/>
      <c r="G209" s="39"/>
    </row>
    <row r="210" spans="2:22" ht="11" customHeight="1" x14ac:dyDescent="0.35">
      <c r="B210" s="34"/>
      <c r="C210" s="34"/>
      <c r="D210" s="34"/>
      <c r="E210" s="34"/>
      <c r="F210" s="34"/>
      <c r="G210" s="34"/>
    </row>
    <row r="211" spans="2:22" s="51" customFormat="1" ht="22" customHeight="1" x14ac:dyDescent="0.35">
      <c r="B211" s="143" t="s">
        <v>124</v>
      </c>
      <c r="C211" s="134"/>
      <c r="D211" s="134"/>
      <c r="E211" s="134"/>
      <c r="F211" s="134"/>
      <c r="G211" s="34"/>
      <c r="L211" s="49" t="s">
        <v>149</v>
      </c>
      <c r="M211" s="50" t="s">
        <v>4</v>
      </c>
      <c r="N211" s="34"/>
      <c r="O211" s="34" t="s">
        <v>150</v>
      </c>
      <c r="P211" s="34"/>
      <c r="Q211" s="34"/>
      <c r="R211" s="34"/>
      <c r="S211" s="34"/>
      <c r="T211" s="34"/>
      <c r="U211" s="34"/>
      <c r="V211" s="34"/>
    </row>
    <row r="212" spans="2:22" ht="18" customHeight="1" x14ac:dyDescent="0.35">
      <c r="B212" s="46" t="str">
        <f>B11</f>
        <v>Residents on Weekly FOGO (sustainable service)</v>
      </c>
      <c r="C212" s="62" t="e">
        <f>SUM(C213:C215)</f>
        <v>#REF!</v>
      </c>
      <c r="D212" s="47" t="s">
        <v>17</v>
      </c>
      <c r="E212" s="48" t="s">
        <v>20</v>
      </c>
      <c r="F212" s="78"/>
      <c r="G212" s="39"/>
      <c r="H212" s="52" t="e">
        <f>C212*C26</f>
        <v>#REF!</v>
      </c>
      <c r="I212" s="51" t="s">
        <v>148</v>
      </c>
      <c r="K212" s="53" t="s">
        <v>125</v>
      </c>
      <c r="L212" s="87" t="e">
        <f>C212</f>
        <v>#REF!</v>
      </c>
      <c r="M212" s="88" t="e">
        <f>C26</f>
        <v>#REF!</v>
      </c>
      <c r="N212" s="85" t="e">
        <f>M212/SUM(M212:M213)</f>
        <v>#REF!</v>
      </c>
      <c r="O212" s="59"/>
    </row>
    <row r="213" spans="2:22" ht="18" customHeight="1" x14ac:dyDescent="0.35">
      <c r="B213" s="13" t="s">
        <v>137</v>
      </c>
      <c r="C213" s="4" t="e">
        <f>C186/C26</f>
        <v>#REF!</v>
      </c>
      <c r="D213" s="2" t="s">
        <v>17</v>
      </c>
      <c r="E213" s="6" t="s">
        <v>20</v>
      </c>
      <c r="F213" s="79"/>
      <c r="G213" s="39"/>
      <c r="K213" s="53" t="s">
        <v>129</v>
      </c>
      <c r="L213" s="87" t="e">
        <f>#REF!</f>
        <v>#REF!</v>
      </c>
      <c r="M213" s="88" t="e">
        <f>#REF!</f>
        <v>#REF!</v>
      </c>
      <c r="N213" s="85" t="e">
        <f>M213/SUM(M212:M213)</f>
        <v>#REF!</v>
      </c>
      <c r="O213" s="86" t="e">
        <f>SUMPRODUCT(L212:L213,N212:N213)</f>
        <v>#REF!</v>
      </c>
    </row>
    <row r="214" spans="2:22" ht="18" customHeight="1" x14ac:dyDescent="0.35">
      <c r="B214" s="13" t="s">
        <v>127</v>
      </c>
      <c r="C214" s="4" t="e">
        <f>(C176*SUM($C$111:$C$112)+(C177*$C$113)+(C178*$C$114))/C26</f>
        <v>#REF!</v>
      </c>
      <c r="D214" s="2" t="s">
        <v>17</v>
      </c>
      <c r="E214" s="6" t="s">
        <v>20</v>
      </c>
      <c r="F214" s="79"/>
      <c r="G214" s="39"/>
      <c r="K214" s="53" t="s">
        <v>130</v>
      </c>
      <c r="L214" s="87" t="e">
        <f>C216</f>
        <v>#REF!</v>
      </c>
      <c r="M214" s="88" t="e">
        <f>C30</f>
        <v>#REF!</v>
      </c>
      <c r="N214" s="85" t="e">
        <f>M214/SUM(M214:M215)</f>
        <v>#REF!</v>
      </c>
      <c r="O214" s="86"/>
    </row>
    <row r="215" spans="2:22" ht="18" customHeight="1" x14ac:dyDescent="0.35">
      <c r="B215" s="13" t="s">
        <v>128</v>
      </c>
      <c r="C215" s="4" t="e">
        <f>$C$207/$C$6</f>
        <v>#REF!</v>
      </c>
      <c r="D215" s="2" t="s">
        <v>17</v>
      </c>
      <c r="E215" s="6" t="s">
        <v>20</v>
      </c>
      <c r="F215" s="79"/>
      <c r="G215" s="39"/>
      <c r="K215" s="53" t="s">
        <v>131</v>
      </c>
      <c r="L215" s="87" t="e">
        <f>#REF!</f>
        <v>#REF!</v>
      </c>
      <c r="M215" s="88" t="e">
        <f>#REF!</f>
        <v>#REF!</v>
      </c>
      <c r="N215" s="85" t="e">
        <f>M215/SUM(M214:M215)</f>
        <v>#REF!</v>
      </c>
      <c r="O215" s="86" t="e">
        <f>SUMPRODUCT(L214:L215,N214:N215)</f>
        <v>#REF!</v>
      </c>
    </row>
    <row r="216" spans="2:22" ht="18" customHeight="1" x14ac:dyDescent="0.35">
      <c r="B216" s="46" t="str">
        <f>B15</f>
        <v>Residents on Weekly GW (old service)</v>
      </c>
      <c r="C216" s="62" t="e">
        <f>SUM(C217:C219)</f>
        <v>#REF!</v>
      </c>
      <c r="D216" s="47" t="s">
        <v>17</v>
      </c>
      <c r="E216" s="48" t="s">
        <v>20</v>
      </c>
      <c r="F216" s="78"/>
      <c r="G216" s="39"/>
      <c r="H216" s="52" t="e">
        <f>C216*C30</f>
        <v>#REF!</v>
      </c>
      <c r="I216" s="51" t="s">
        <v>148</v>
      </c>
    </row>
    <row r="217" spans="2:22" ht="18" customHeight="1" x14ac:dyDescent="0.35">
      <c r="B217" s="13" t="s">
        <v>137</v>
      </c>
      <c r="C217" s="4" t="e">
        <f>C190/C30</f>
        <v>#REF!</v>
      </c>
      <c r="D217" s="2" t="s">
        <v>17</v>
      </c>
      <c r="E217" s="6" t="s">
        <v>20</v>
      </c>
      <c r="F217" s="79"/>
      <c r="G217" s="39"/>
    </row>
    <row r="218" spans="2:22" ht="18" customHeight="1" x14ac:dyDescent="0.35">
      <c r="B218" s="13" t="s">
        <v>127</v>
      </c>
      <c r="C218" s="4" t="e">
        <f>(C180*SUM($C$111:$C$112)+(C181*$C$113)+(C182*$C$114))/C30</f>
        <v>#REF!</v>
      </c>
      <c r="D218" s="2" t="s">
        <v>17</v>
      </c>
      <c r="E218" s="6" t="s">
        <v>20</v>
      </c>
      <c r="F218" s="79"/>
      <c r="G218" s="39"/>
    </row>
    <row r="219" spans="2:22" ht="18" customHeight="1" x14ac:dyDescent="0.35">
      <c r="B219" s="13" t="s">
        <v>128</v>
      </c>
      <c r="C219" s="4" t="e">
        <f>$C$207/$C$6</f>
        <v>#REF!</v>
      </c>
      <c r="D219" s="2" t="s">
        <v>17</v>
      </c>
      <c r="E219" s="6" t="s">
        <v>20</v>
      </c>
      <c r="F219" s="79"/>
      <c r="G219" s="39"/>
    </row>
    <row r="220" spans="2:22" ht="11" customHeight="1" x14ac:dyDescent="0.35">
      <c r="B220" s="34"/>
      <c r="C220" s="60"/>
      <c r="D220" s="34"/>
      <c r="E220" s="34"/>
      <c r="F220" s="34"/>
      <c r="G220" s="34"/>
    </row>
    <row r="221" spans="2:22" s="51" customFormat="1" ht="22" customHeight="1" x14ac:dyDescent="0.35">
      <c r="B221" s="143" t="s">
        <v>174</v>
      </c>
      <c r="C221" s="134"/>
      <c r="D221" s="134"/>
      <c r="E221" s="134"/>
      <c r="F221" s="134"/>
      <c r="G221" s="34"/>
      <c r="L221" s="49"/>
      <c r="M221" s="50"/>
      <c r="N221" s="34"/>
      <c r="O221" s="34"/>
      <c r="P221" s="34"/>
      <c r="Q221" s="34"/>
      <c r="R221" s="34"/>
      <c r="S221" s="34"/>
      <c r="T221" s="34"/>
      <c r="U221" s="34"/>
      <c r="V221" s="34"/>
    </row>
    <row r="222" spans="2:22" ht="18" customHeight="1" x14ac:dyDescent="0.35">
      <c r="B222" s="13" t="str">
        <f>B11</f>
        <v>Residents on Weekly FOGO (sustainable service)</v>
      </c>
      <c r="C222" s="124">
        <v>0</v>
      </c>
      <c r="D222" s="2" t="s">
        <v>151</v>
      </c>
      <c r="E222" s="6" t="s">
        <v>21</v>
      </c>
      <c r="F222" s="79"/>
      <c r="G222" s="39"/>
      <c r="H222" s="132" t="e">
        <f>C222*(C26+#REF!)</f>
        <v>#REF!</v>
      </c>
      <c r="L222" s="71"/>
      <c r="M222" s="71"/>
      <c r="N222" s="50"/>
      <c r="O222" s="58"/>
    </row>
    <row r="223" spans="2:22" ht="18" customHeight="1" x14ac:dyDescent="0.35">
      <c r="B223" s="13" t="str">
        <f>B15</f>
        <v>Residents on Weekly GW (old service)</v>
      </c>
      <c r="C223" s="124">
        <v>50</v>
      </c>
      <c r="D223" s="2" t="s">
        <v>151</v>
      </c>
      <c r="E223" s="6" t="s">
        <v>21</v>
      </c>
      <c r="F223" s="79" t="s">
        <v>153</v>
      </c>
      <c r="G223" s="39"/>
      <c r="L223" s="71"/>
      <c r="M223" s="71"/>
      <c r="N223" s="50"/>
      <c r="O223" s="58"/>
    </row>
    <row r="224" spans="2:22" ht="18" customHeight="1" x14ac:dyDescent="0.35">
      <c r="B224" s="94" t="s">
        <v>152</v>
      </c>
      <c r="C224" s="95" t="e">
        <f>(C222*C26)+(C223*C30)</f>
        <v>#REF!</v>
      </c>
      <c r="D224" s="96" t="s">
        <v>17</v>
      </c>
      <c r="E224" s="97" t="s">
        <v>20</v>
      </c>
      <c r="F224" s="98"/>
      <c r="G224" s="39"/>
      <c r="L224" s="71"/>
      <c r="M224" s="71"/>
      <c r="N224" s="50"/>
      <c r="O224" s="58"/>
    </row>
    <row r="225" spans="2:22" ht="11" customHeight="1" x14ac:dyDescent="0.35">
      <c r="B225" s="34"/>
      <c r="C225" s="60"/>
      <c r="D225" s="34"/>
      <c r="E225" s="34"/>
      <c r="F225" s="34"/>
      <c r="G225" s="34"/>
    </row>
    <row r="226" spans="2:22" s="51" customFormat="1" ht="22" customHeight="1" x14ac:dyDescent="0.35">
      <c r="B226" s="143" t="s">
        <v>139</v>
      </c>
      <c r="C226" s="134"/>
      <c r="D226" s="134"/>
      <c r="E226" s="134"/>
      <c r="F226" s="134"/>
      <c r="G226" s="34"/>
      <c r="L226" s="49"/>
      <c r="M226" s="50"/>
      <c r="N226" s="34"/>
      <c r="O226" s="34"/>
      <c r="P226" s="34"/>
      <c r="Q226" s="34"/>
      <c r="R226" s="34"/>
      <c r="S226" s="34"/>
      <c r="T226" s="34"/>
      <c r="U226" s="34"/>
      <c r="V226" s="34"/>
    </row>
    <row r="227" spans="2:22" ht="18" customHeight="1" x14ac:dyDescent="0.35">
      <c r="B227" s="46" t="s">
        <v>140</v>
      </c>
      <c r="C227" s="62" t="e">
        <f>SUM(C228:C229)</f>
        <v>#REF!</v>
      </c>
      <c r="D227" s="47" t="s">
        <v>17</v>
      </c>
      <c r="E227" s="48" t="s">
        <v>20</v>
      </c>
      <c r="F227" s="78"/>
      <c r="G227" s="39"/>
    </row>
    <row r="228" spans="2:22" ht="18" customHeight="1" x14ac:dyDescent="0.35">
      <c r="B228" s="13" t="s">
        <v>126</v>
      </c>
      <c r="C228" s="4" t="e">
        <f>(C102*26)+(C106*26)</f>
        <v>#REF!</v>
      </c>
      <c r="D228" s="2" t="s">
        <v>17</v>
      </c>
      <c r="E228" s="6" t="s">
        <v>20</v>
      </c>
      <c r="F228" s="79" t="s">
        <v>173</v>
      </c>
      <c r="G228" s="39"/>
    </row>
    <row r="229" spans="2:22" ht="18" customHeight="1" x14ac:dyDescent="0.35">
      <c r="B229" s="13" t="s">
        <v>142</v>
      </c>
      <c r="C229" s="4" t="e">
        <f>(C170*52/1000)*SUM(C111:C112)</f>
        <v>#REF!</v>
      </c>
      <c r="D229" s="2" t="s">
        <v>17</v>
      </c>
      <c r="E229" s="6" t="s">
        <v>20</v>
      </c>
      <c r="F229" s="79"/>
      <c r="G229" s="39"/>
    </row>
    <row r="230" spans="2:22" s="51" customFormat="1" ht="18" customHeight="1" x14ac:dyDescent="0.35">
      <c r="B230" s="46" t="s">
        <v>143</v>
      </c>
      <c r="C230" s="62" t="e">
        <f>SUM(C231:C232)</f>
        <v>#REF!</v>
      </c>
      <c r="D230" s="47" t="s">
        <v>17</v>
      </c>
      <c r="E230" s="48" t="s">
        <v>20</v>
      </c>
      <c r="F230" s="78"/>
      <c r="G230" s="39"/>
      <c r="L230" s="49"/>
      <c r="M230" s="50"/>
      <c r="N230" s="34"/>
      <c r="O230" s="34"/>
      <c r="P230" s="34"/>
      <c r="Q230" s="34"/>
      <c r="R230" s="34"/>
      <c r="S230" s="34"/>
      <c r="T230" s="34"/>
      <c r="U230" s="34"/>
      <c r="V230" s="34"/>
    </row>
    <row r="231" spans="2:22" s="51" customFormat="1" ht="18" customHeight="1" x14ac:dyDescent="0.35">
      <c r="B231" s="13" t="s">
        <v>126</v>
      </c>
      <c r="C231" s="4" t="e">
        <f>C102*26</f>
        <v>#REF!</v>
      </c>
      <c r="D231" s="2" t="s">
        <v>17</v>
      </c>
      <c r="E231" s="6" t="s">
        <v>20</v>
      </c>
      <c r="F231" s="79"/>
      <c r="G231" s="39"/>
      <c r="L231" s="49"/>
      <c r="M231" s="50"/>
      <c r="N231" s="34"/>
      <c r="O231" s="34"/>
      <c r="P231" s="34"/>
      <c r="Q231" s="34"/>
      <c r="R231" s="34"/>
      <c r="S231" s="34"/>
      <c r="T231" s="34"/>
      <c r="U231" s="34"/>
      <c r="V231" s="34"/>
    </row>
    <row r="232" spans="2:22" s="51" customFormat="1" ht="18" customHeight="1" x14ac:dyDescent="0.35">
      <c r="B232" s="13" t="s">
        <v>142</v>
      </c>
      <c r="C232" s="4" t="e">
        <f>(C166*52/1000)*SUM(C111:C112)</f>
        <v>#REF!</v>
      </c>
      <c r="D232" s="2" t="s">
        <v>17</v>
      </c>
      <c r="E232" s="6" t="s">
        <v>20</v>
      </c>
      <c r="F232" s="79"/>
      <c r="G232" s="39"/>
      <c r="L232" s="49"/>
      <c r="M232" s="50"/>
      <c r="N232" s="34"/>
      <c r="O232" s="34"/>
      <c r="P232" s="34"/>
      <c r="Q232" s="34"/>
      <c r="R232" s="34"/>
      <c r="S232" s="34"/>
      <c r="T232" s="34"/>
      <c r="U232" s="34"/>
      <c r="V232" s="34"/>
    </row>
    <row r="233" spans="2:22" s="51" customFormat="1" ht="18" customHeight="1" x14ac:dyDescent="0.35">
      <c r="B233" s="46" t="s">
        <v>144</v>
      </c>
      <c r="C233" s="62" t="e">
        <f>SUM(C234:C235)</f>
        <v>#REF!</v>
      </c>
      <c r="D233" s="47" t="s">
        <v>17</v>
      </c>
      <c r="E233" s="48" t="s">
        <v>20</v>
      </c>
      <c r="F233" s="78"/>
      <c r="G233" s="39"/>
      <c r="L233" s="49"/>
      <c r="M233" s="50"/>
      <c r="N233" s="34"/>
      <c r="O233" s="34"/>
      <c r="P233" s="34"/>
      <c r="Q233" s="34"/>
      <c r="R233" s="34"/>
      <c r="S233" s="34"/>
      <c r="T233" s="34"/>
      <c r="U233" s="34"/>
      <c r="V233" s="34"/>
    </row>
    <row r="234" spans="2:22" s="51" customFormat="1" ht="18" customHeight="1" x14ac:dyDescent="0.35">
      <c r="B234" s="13" t="s">
        <v>126</v>
      </c>
      <c r="C234" s="4" t="e">
        <f>C104*52</f>
        <v>#REF!</v>
      </c>
      <c r="D234" s="2" t="s">
        <v>17</v>
      </c>
      <c r="E234" s="6" t="s">
        <v>20</v>
      </c>
      <c r="F234" s="79"/>
      <c r="G234" s="39"/>
      <c r="L234" s="49"/>
      <c r="M234" s="50"/>
      <c r="N234" s="34"/>
      <c r="O234" s="34"/>
      <c r="P234" s="34"/>
      <c r="Q234" s="34"/>
      <c r="R234" s="34"/>
      <c r="S234" s="34"/>
      <c r="T234" s="34"/>
      <c r="U234" s="34"/>
      <c r="V234" s="34"/>
    </row>
    <row r="235" spans="2:22" s="51" customFormat="1" ht="18" customHeight="1" x14ac:dyDescent="0.35">
      <c r="B235" s="13" t="s">
        <v>142</v>
      </c>
      <c r="C235" s="4" t="e">
        <f>(C168*52/1000)*C114</f>
        <v>#REF!</v>
      </c>
      <c r="D235" s="2" t="s">
        <v>17</v>
      </c>
      <c r="E235" s="6" t="s">
        <v>20</v>
      </c>
      <c r="F235" s="79"/>
      <c r="G235" s="39"/>
      <c r="L235" s="49"/>
      <c r="M235" s="50"/>
      <c r="N235" s="34"/>
      <c r="O235" s="34"/>
      <c r="P235" s="34"/>
      <c r="Q235" s="34"/>
      <c r="R235" s="34"/>
      <c r="S235" s="34"/>
      <c r="T235" s="34"/>
      <c r="U235" s="34"/>
      <c r="V235" s="34"/>
    </row>
    <row r="236" spans="2:22" s="51" customFormat="1" ht="18" customHeight="1" x14ac:dyDescent="0.35">
      <c r="B236" s="46" t="s">
        <v>145</v>
      </c>
      <c r="C236" s="62" t="e">
        <f>SUM(C237:C238)</f>
        <v>#REF!</v>
      </c>
      <c r="D236" s="47" t="s">
        <v>17</v>
      </c>
      <c r="E236" s="48" t="s">
        <v>20</v>
      </c>
      <c r="F236" s="78"/>
      <c r="G236" s="39"/>
      <c r="L236" s="49"/>
      <c r="M236" s="50"/>
      <c r="N236" s="34"/>
      <c r="O236" s="34"/>
      <c r="P236" s="34"/>
      <c r="Q236" s="34"/>
      <c r="R236" s="34"/>
      <c r="S236" s="34"/>
      <c r="T236" s="34"/>
      <c r="U236" s="34"/>
      <c r="V236" s="34"/>
    </row>
    <row r="237" spans="2:22" s="51" customFormat="1" ht="18" customHeight="1" x14ac:dyDescent="0.35">
      <c r="B237" s="13" t="s">
        <v>126</v>
      </c>
      <c r="C237" s="4" t="e">
        <f>C108*26</f>
        <v>#REF!</v>
      </c>
      <c r="D237" s="2" t="s">
        <v>17</v>
      </c>
      <c r="E237" s="6" t="s">
        <v>20</v>
      </c>
      <c r="F237" s="79"/>
      <c r="G237" s="39"/>
      <c r="L237" s="49"/>
      <c r="M237" s="50"/>
      <c r="N237" s="34"/>
      <c r="O237" s="34"/>
      <c r="P237" s="34"/>
      <c r="Q237" s="34"/>
      <c r="R237" s="34"/>
      <c r="S237" s="34"/>
      <c r="T237" s="34"/>
      <c r="U237" s="34"/>
      <c r="V237" s="34"/>
    </row>
    <row r="238" spans="2:22" s="51" customFormat="1" ht="18" customHeight="1" x14ac:dyDescent="0.35">
      <c r="B238" s="13" t="s">
        <v>142</v>
      </c>
      <c r="C238" s="4" t="e">
        <f>(C172*52/1000)*C114</f>
        <v>#REF!</v>
      </c>
      <c r="D238" s="2" t="s">
        <v>17</v>
      </c>
      <c r="E238" s="6" t="s">
        <v>20</v>
      </c>
      <c r="F238" s="79"/>
      <c r="G238" s="39"/>
      <c r="L238" s="49"/>
      <c r="M238" s="50"/>
      <c r="N238" s="34"/>
      <c r="O238" s="34"/>
      <c r="P238" s="34"/>
      <c r="Q238" s="34"/>
      <c r="R238" s="34"/>
      <c r="S238" s="34"/>
      <c r="T238" s="34"/>
      <c r="U238" s="34"/>
      <c r="V238" s="34"/>
    </row>
    <row r="239" spans="2:22" s="51" customFormat="1" ht="18" customHeight="1" x14ac:dyDescent="0.35">
      <c r="B239" s="46" t="s">
        <v>146</v>
      </c>
      <c r="C239" s="62" t="e">
        <f>SUM(C240:C241)</f>
        <v>#REF!</v>
      </c>
      <c r="D239" s="47" t="s">
        <v>17</v>
      </c>
      <c r="E239" s="48" t="s">
        <v>20</v>
      </c>
      <c r="F239" s="78"/>
      <c r="G239" s="39"/>
      <c r="L239" s="49"/>
      <c r="M239" s="50"/>
      <c r="N239" s="34"/>
      <c r="O239" s="34"/>
      <c r="P239" s="34"/>
      <c r="Q239" s="34"/>
      <c r="R239" s="34"/>
      <c r="S239" s="34"/>
      <c r="T239" s="34"/>
      <c r="U239" s="34"/>
      <c r="V239" s="34"/>
    </row>
    <row r="240" spans="2:22" s="51" customFormat="1" ht="18" customHeight="1" x14ac:dyDescent="0.35">
      <c r="B240" s="13" t="s">
        <v>126</v>
      </c>
      <c r="C240" s="4" t="e">
        <f>C103*26</f>
        <v>#REF!</v>
      </c>
      <c r="D240" s="2" t="s">
        <v>17</v>
      </c>
      <c r="E240" s="6" t="s">
        <v>20</v>
      </c>
      <c r="F240" s="79"/>
      <c r="G240" s="39"/>
      <c r="L240" s="49"/>
      <c r="M240" s="50"/>
      <c r="N240" s="34"/>
      <c r="O240" s="34"/>
      <c r="P240" s="34"/>
      <c r="Q240" s="34"/>
      <c r="R240" s="34"/>
      <c r="S240" s="34"/>
      <c r="T240" s="34"/>
      <c r="U240" s="34"/>
      <c r="V240" s="34"/>
    </row>
    <row r="241" spans="2:22" s="51" customFormat="1" ht="18" customHeight="1" x14ac:dyDescent="0.35">
      <c r="B241" s="13" t="s">
        <v>142</v>
      </c>
      <c r="C241" s="4" t="e">
        <f>(C167*52/1000)*C113</f>
        <v>#REF!</v>
      </c>
      <c r="D241" s="2" t="s">
        <v>17</v>
      </c>
      <c r="E241" s="6" t="s">
        <v>20</v>
      </c>
      <c r="F241" s="79"/>
      <c r="G241" s="39"/>
      <c r="L241" s="49"/>
      <c r="M241" s="50"/>
      <c r="N241" s="34"/>
      <c r="O241" s="34"/>
      <c r="P241" s="34"/>
      <c r="Q241" s="34"/>
      <c r="R241" s="34"/>
      <c r="S241" s="34"/>
      <c r="T241" s="34"/>
      <c r="U241" s="34"/>
      <c r="V241" s="34"/>
    </row>
    <row r="242" spans="2:22" s="51" customFormat="1" ht="11" customHeight="1" x14ac:dyDescent="0.35">
      <c r="B242" s="34"/>
      <c r="C242" s="60"/>
      <c r="D242" s="34"/>
      <c r="E242" s="34"/>
      <c r="F242" s="34"/>
      <c r="G242" s="34"/>
      <c r="H242" s="71"/>
      <c r="L242" s="49"/>
      <c r="M242" s="50"/>
      <c r="N242" s="34"/>
      <c r="O242" s="34"/>
      <c r="P242" s="34"/>
      <c r="Q242" s="34"/>
      <c r="R242" s="34"/>
      <c r="S242" s="34"/>
      <c r="T242" s="34"/>
      <c r="U242" s="34"/>
      <c r="V242" s="34"/>
    </row>
    <row r="243" spans="2:22" s="51" customFormat="1" ht="22" customHeight="1" x14ac:dyDescent="0.35">
      <c r="B243" s="143" t="s">
        <v>82</v>
      </c>
      <c r="C243" s="134"/>
      <c r="D243" s="134"/>
      <c r="E243" s="134"/>
      <c r="F243" s="134"/>
      <c r="G243" s="34"/>
      <c r="L243" s="49"/>
      <c r="M243" s="50"/>
      <c r="N243" s="34"/>
      <c r="O243" s="34"/>
      <c r="P243" s="34"/>
      <c r="Q243" s="34"/>
      <c r="R243" s="34"/>
      <c r="S243" s="34"/>
      <c r="T243" s="34"/>
      <c r="U243" s="34"/>
      <c r="V243" s="34"/>
    </row>
    <row r="244" spans="2:22" s="51" customFormat="1" ht="18" customHeight="1" x14ac:dyDescent="0.35">
      <c r="B244" s="13" t="s">
        <v>168</v>
      </c>
      <c r="C244" s="4"/>
      <c r="D244" s="2" t="s">
        <v>112</v>
      </c>
      <c r="E244" s="6" t="s">
        <v>20</v>
      </c>
      <c r="F244" s="79"/>
      <c r="G244" s="39"/>
      <c r="L244" s="49"/>
      <c r="M244" s="50"/>
      <c r="N244" s="34"/>
      <c r="O244" s="34"/>
      <c r="P244" s="34"/>
      <c r="Q244" s="34"/>
      <c r="R244" s="34"/>
      <c r="S244" s="34"/>
      <c r="T244" s="34"/>
      <c r="U244" s="34"/>
      <c r="V244" s="34"/>
    </row>
    <row r="245" spans="2:22" s="51" customFormat="1" ht="18" customHeight="1" x14ac:dyDescent="0.35">
      <c r="B245" s="13" t="s">
        <v>83</v>
      </c>
      <c r="C245" s="4" t="e">
        <f>$C$8*C119</f>
        <v>#REF!</v>
      </c>
      <c r="D245" s="2" t="s">
        <v>112</v>
      </c>
      <c r="E245" s="6" t="s">
        <v>20</v>
      </c>
      <c r="F245" s="79"/>
      <c r="G245" s="39"/>
      <c r="L245" s="49"/>
      <c r="M245" s="50"/>
      <c r="N245" s="34"/>
      <c r="O245" s="34"/>
      <c r="P245" s="34"/>
      <c r="Q245" s="34"/>
      <c r="R245" s="34"/>
      <c r="S245" s="34"/>
      <c r="T245" s="34"/>
      <c r="U245" s="34"/>
      <c r="V245" s="34"/>
    </row>
    <row r="246" spans="2:22" s="51" customFormat="1" ht="18" customHeight="1" x14ac:dyDescent="0.35">
      <c r="B246" s="13" t="s">
        <v>84</v>
      </c>
      <c r="C246" s="4" t="e">
        <f>$C$8*C120</f>
        <v>#REF!</v>
      </c>
      <c r="D246" s="2" t="s">
        <v>112</v>
      </c>
      <c r="E246" s="6" t="s">
        <v>20</v>
      </c>
      <c r="F246" s="79"/>
      <c r="G246" s="39"/>
      <c r="L246" s="49"/>
      <c r="M246" s="50"/>
      <c r="N246" s="34"/>
      <c r="O246" s="34"/>
      <c r="P246" s="34"/>
      <c r="Q246" s="34"/>
      <c r="R246" s="34"/>
      <c r="S246" s="34"/>
      <c r="T246" s="34"/>
      <c r="U246" s="34"/>
      <c r="V246" s="34"/>
    </row>
    <row r="247" spans="2:22" s="51" customFormat="1" ht="18" customHeight="1" x14ac:dyDescent="0.35">
      <c r="B247" s="13" t="s">
        <v>85</v>
      </c>
      <c r="C247" s="4" t="e">
        <f>$C$8*C121</f>
        <v>#REF!</v>
      </c>
      <c r="D247" s="2" t="s">
        <v>112</v>
      </c>
      <c r="E247" s="6" t="s">
        <v>20</v>
      </c>
      <c r="F247" s="79"/>
      <c r="G247" s="39"/>
      <c r="L247" s="49"/>
      <c r="M247" s="50"/>
      <c r="N247" s="34"/>
      <c r="O247" s="34"/>
      <c r="P247" s="34"/>
      <c r="Q247" s="34"/>
      <c r="R247" s="34"/>
      <c r="S247" s="34"/>
      <c r="T247" s="34"/>
      <c r="U247" s="34"/>
      <c r="V247" s="34"/>
    </row>
    <row r="248" spans="2:22" s="51" customFormat="1" ht="18" customHeight="1" x14ac:dyDescent="0.35">
      <c r="B248" s="89" t="s">
        <v>86</v>
      </c>
      <c r="C248" s="90" t="e">
        <f>$C$8*C122</f>
        <v>#REF!</v>
      </c>
      <c r="D248" s="91" t="s">
        <v>112</v>
      </c>
      <c r="E248" s="92" t="s">
        <v>20</v>
      </c>
      <c r="F248" s="93"/>
      <c r="G248" s="39"/>
      <c r="L248" s="49"/>
      <c r="M248" s="50"/>
      <c r="N248" s="34"/>
      <c r="O248" s="34"/>
      <c r="P248" s="34"/>
      <c r="Q248" s="34"/>
      <c r="R248" s="34"/>
      <c r="S248" s="34"/>
      <c r="T248" s="34"/>
      <c r="U248" s="34"/>
      <c r="V248" s="34"/>
    </row>
    <row r="249" spans="2:22" s="51" customFormat="1" ht="18" customHeight="1" x14ac:dyDescent="0.35">
      <c r="B249" s="94" t="s">
        <v>113</v>
      </c>
      <c r="C249" s="95" t="e">
        <f>SUM(C244:C248)</f>
        <v>#REF!</v>
      </c>
      <c r="D249" s="96" t="s">
        <v>112</v>
      </c>
      <c r="E249" s="97" t="s">
        <v>20</v>
      </c>
      <c r="F249" s="98"/>
      <c r="G249" s="39"/>
      <c r="L249" s="49"/>
      <c r="M249" s="50"/>
      <c r="N249" s="34"/>
      <c r="O249" s="34"/>
      <c r="P249" s="34"/>
      <c r="Q249" s="34"/>
      <c r="R249" s="34"/>
      <c r="S249" s="34"/>
      <c r="T249" s="34"/>
      <c r="U249" s="34"/>
      <c r="V249" s="34"/>
    </row>
    <row r="250" spans="2:22" s="51" customFormat="1" ht="18" customHeight="1" x14ac:dyDescent="0.35">
      <c r="B250" s="94" t="s">
        <v>124</v>
      </c>
      <c r="C250" s="95" t="e">
        <f>SUM(C245:C248)/$C$6</f>
        <v>#REF!</v>
      </c>
      <c r="D250" s="96" t="s">
        <v>123</v>
      </c>
      <c r="E250" s="97" t="s">
        <v>20</v>
      </c>
      <c r="F250" s="98"/>
      <c r="G250" s="39"/>
      <c r="L250" s="49"/>
      <c r="M250" s="50"/>
      <c r="N250" s="34"/>
      <c r="O250" s="34"/>
      <c r="P250" s="34"/>
      <c r="Q250" s="34"/>
      <c r="R250" s="34"/>
      <c r="S250" s="34"/>
      <c r="T250" s="34"/>
      <c r="U250" s="34"/>
      <c r="V250" s="34"/>
    </row>
    <row r="251" spans="2:22" s="51" customFormat="1" ht="11" customHeight="1" x14ac:dyDescent="0.35">
      <c r="B251" s="34"/>
      <c r="C251" s="34"/>
      <c r="D251" s="34"/>
      <c r="E251" s="34"/>
      <c r="F251" s="34"/>
      <c r="G251" s="34"/>
      <c r="L251" s="49"/>
      <c r="M251" s="50"/>
      <c r="N251" s="34"/>
      <c r="O251" s="34"/>
      <c r="P251" s="34"/>
      <c r="Q251" s="34"/>
      <c r="R251" s="34"/>
      <c r="S251" s="34"/>
      <c r="T251" s="34"/>
      <c r="U251" s="34"/>
      <c r="V251" s="34"/>
    </row>
    <row r="252" spans="2:22" s="51" customFormat="1" ht="22" customHeight="1" x14ac:dyDescent="0.35">
      <c r="B252" s="143" t="s">
        <v>98</v>
      </c>
      <c r="C252" s="134"/>
      <c r="D252" s="134"/>
      <c r="E252" s="134"/>
      <c r="F252" s="134"/>
      <c r="G252" s="34"/>
      <c r="L252" s="49"/>
      <c r="M252" s="50"/>
      <c r="N252" s="34"/>
      <c r="O252" s="34"/>
      <c r="P252" s="34"/>
      <c r="Q252" s="34"/>
      <c r="R252" s="34"/>
      <c r="S252" s="34"/>
      <c r="T252" s="34"/>
      <c r="U252" s="34"/>
      <c r="V252" s="34"/>
    </row>
    <row r="253" spans="2:22" s="51" customFormat="1" ht="18" customHeight="1" x14ac:dyDescent="0.35">
      <c r="B253" s="13" t="s">
        <v>100</v>
      </c>
      <c r="C253" s="1" t="e">
        <f>C147*C128</f>
        <v>#REF!</v>
      </c>
      <c r="D253" s="29" t="s">
        <v>97</v>
      </c>
      <c r="E253" s="6" t="s">
        <v>20</v>
      </c>
      <c r="F253" s="79"/>
      <c r="G253" s="39"/>
      <c r="L253" s="49"/>
      <c r="M253" s="50"/>
      <c r="N253" s="34"/>
      <c r="O253" s="34"/>
      <c r="P253" s="34"/>
      <c r="Q253" s="34"/>
      <c r="R253" s="34"/>
      <c r="S253" s="34"/>
      <c r="T253" s="34"/>
      <c r="U253" s="34"/>
      <c r="V253" s="34"/>
    </row>
    <row r="254" spans="2:22" s="51" customFormat="1" ht="18" customHeight="1" x14ac:dyDescent="0.35">
      <c r="B254" s="13" t="s">
        <v>101</v>
      </c>
      <c r="C254" s="1" t="e">
        <f>C148*C129</f>
        <v>#REF!</v>
      </c>
      <c r="D254" s="29" t="s">
        <v>97</v>
      </c>
      <c r="E254" s="6" t="s">
        <v>20</v>
      </c>
      <c r="F254" s="79"/>
      <c r="G254" s="39"/>
      <c r="L254" s="49"/>
      <c r="M254" s="50"/>
      <c r="N254" s="34"/>
      <c r="O254" s="34"/>
      <c r="P254" s="34"/>
      <c r="Q254" s="34"/>
      <c r="R254" s="34"/>
      <c r="S254" s="34"/>
      <c r="T254" s="34"/>
      <c r="U254" s="34"/>
      <c r="V254" s="34"/>
    </row>
    <row r="255" spans="2:22" s="51" customFormat="1" ht="18" customHeight="1" x14ac:dyDescent="0.35">
      <c r="B255" s="89" t="s">
        <v>102</v>
      </c>
      <c r="C255" s="145" t="e">
        <f>C149*C129</f>
        <v>#REF!</v>
      </c>
      <c r="D255" s="118" t="s">
        <v>97</v>
      </c>
      <c r="E255" s="92" t="s">
        <v>20</v>
      </c>
      <c r="F255" s="93"/>
      <c r="G255" s="39"/>
      <c r="L255" s="49"/>
      <c r="M255" s="50"/>
      <c r="N255" s="34"/>
      <c r="O255" s="34"/>
      <c r="P255" s="34"/>
      <c r="Q255" s="34"/>
      <c r="R255" s="34"/>
      <c r="S255" s="34"/>
      <c r="T255" s="34"/>
      <c r="U255" s="34"/>
      <c r="V255" s="34"/>
    </row>
    <row r="256" spans="2:22" s="51" customFormat="1" ht="24" customHeight="1" x14ac:dyDescent="0.35">
      <c r="B256" s="94" t="s">
        <v>99</v>
      </c>
      <c r="C256" s="107" t="e">
        <f>SUM(C253:C255)</f>
        <v>#REF!</v>
      </c>
      <c r="D256" s="122" t="s">
        <v>97</v>
      </c>
      <c r="E256" s="97" t="s">
        <v>20</v>
      </c>
      <c r="F256" s="98"/>
      <c r="G256" s="39"/>
      <c r="L256" s="49"/>
      <c r="M256" s="50"/>
      <c r="N256" s="34"/>
      <c r="O256" s="34"/>
      <c r="P256" s="34"/>
      <c r="Q256" s="34"/>
      <c r="R256" s="34"/>
      <c r="S256" s="34"/>
      <c r="T256" s="34"/>
      <c r="U256" s="34"/>
      <c r="V256" s="34"/>
    </row>
    <row r="257" spans="2:22" s="51" customFormat="1" ht="18" customHeight="1" x14ac:dyDescent="0.35">
      <c r="B257" s="110" t="s">
        <v>103</v>
      </c>
      <c r="C257" s="136" t="e">
        <f>C256*C130</f>
        <v>#REF!</v>
      </c>
      <c r="D257" s="119" t="s">
        <v>106</v>
      </c>
      <c r="E257" s="120" t="s">
        <v>20</v>
      </c>
      <c r="F257" s="114"/>
      <c r="G257" s="39"/>
      <c r="L257" s="49"/>
      <c r="M257" s="50"/>
      <c r="N257" s="34"/>
      <c r="O257" s="34"/>
      <c r="P257" s="34"/>
      <c r="Q257" s="34"/>
      <c r="R257" s="34"/>
      <c r="S257" s="34"/>
      <c r="T257" s="34"/>
      <c r="U257" s="34"/>
      <c r="V257" s="34"/>
    </row>
    <row r="258" spans="2:22" s="51" customFormat="1" ht="18" customHeight="1" x14ac:dyDescent="0.35">
      <c r="B258" s="13" t="s">
        <v>104</v>
      </c>
      <c r="C258" s="1" t="e">
        <f>C256*C131</f>
        <v>#REF!</v>
      </c>
      <c r="D258" s="29" t="s">
        <v>105</v>
      </c>
      <c r="E258" s="6" t="s">
        <v>20</v>
      </c>
      <c r="F258" s="79"/>
      <c r="G258" s="39"/>
      <c r="L258" s="49"/>
      <c r="M258" s="50"/>
      <c r="N258" s="34"/>
      <c r="O258" s="34"/>
      <c r="P258" s="34"/>
      <c r="Q258" s="34"/>
      <c r="R258" s="34"/>
      <c r="S258" s="34"/>
      <c r="T258" s="34"/>
      <c r="U258" s="34"/>
      <c r="V258" s="34"/>
    </row>
    <row r="259" spans="2:22" s="51" customFormat="1" ht="18" customHeight="1" x14ac:dyDescent="0.35">
      <c r="B259" s="13" t="s">
        <v>107</v>
      </c>
      <c r="C259" s="4" t="e">
        <f>SUM(C147:C148)*C112</f>
        <v>#REF!</v>
      </c>
      <c r="D259" s="29" t="s">
        <v>110</v>
      </c>
      <c r="E259" s="6" t="s">
        <v>20</v>
      </c>
      <c r="F259" s="79"/>
      <c r="G259" s="39"/>
      <c r="L259" s="49"/>
      <c r="M259" s="50"/>
      <c r="N259" s="34"/>
      <c r="O259" s="34"/>
      <c r="P259" s="34"/>
      <c r="Q259" s="34"/>
      <c r="R259" s="34"/>
      <c r="S259" s="34"/>
      <c r="T259" s="34"/>
      <c r="U259" s="34"/>
      <c r="V259" s="34"/>
    </row>
    <row r="260" spans="2:22" ht="18" customHeight="1" x14ac:dyDescent="0.35">
      <c r="B260" s="13" t="s">
        <v>108</v>
      </c>
      <c r="C260" s="4" t="e">
        <f>C150*C133</f>
        <v>#REF!</v>
      </c>
      <c r="D260" s="29" t="s">
        <v>111</v>
      </c>
      <c r="E260" s="6" t="s">
        <v>20</v>
      </c>
      <c r="F260" s="79"/>
      <c r="G260" s="39"/>
    </row>
    <row r="261" spans="2:22" ht="18" customHeight="1" x14ac:dyDescent="0.35">
      <c r="B261" s="13" t="s">
        <v>25</v>
      </c>
      <c r="C261" s="7" t="e">
        <f>(C150/10000)*C132</f>
        <v>#REF!</v>
      </c>
      <c r="D261" s="29" t="s">
        <v>109</v>
      </c>
      <c r="E261" s="6" t="s">
        <v>20</v>
      </c>
      <c r="F261" s="79"/>
      <c r="G261" s="39"/>
    </row>
    <row r="262" spans="2:22" ht="14.5" x14ac:dyDescent="0.35">
      <c r="B262" s="34"/>
      <c r="C262" s="34"/>
      <c r="D262" s="34"/>
      <c r="E262" s="34"/>
      <c r="F262" s="34"/>
      <c r="G262" s="34"/>
      <c r="U262" s="40"/>
    </row>
    <row r="263" spans="2:22" ht="14.5" x14ac:dyDescent="0.35">
      <c r="B263" s="34"/>
      <c r="C263" s="34"/>
      <c r="D263" s="34"/>
      <c r="E263" s="34"/>
      <c r="F263" s="34"/>
      <c r="G263" s="34"/>
      <c r="U263" s="40"/>
    </row>
    <row r="264" spans="2:22" ht="14.5" x14ac:dyDescent="0.35">
      <c r="B264" s="34"/>
      <c r="C264" s="34"/>
      <c r="D264" s="34"/>
      <c r="E264" s="34"/>
      <c r="F264" s="34"/>
      <c r="G264" s="34"/>
      <c r="U264" s="40"/>
    </row>
    <row r="265" spans="2:22" ht="36" customHeight="1" x14ac:dyDescent="0.35">
      <c r="B265" s="5" t="s">
        <v>156</v>
      </c>
      <c r="C265" s="33"/>
      <c r="D265" s="33"/>
      <c r="E265" s="33"/>
      <c r="F265" s="33"/>
      <c r="G265" s="34"/>
      <c r="U265" s="40"/>
    </row>
    <row r="266" spans="2:22" ht="24.5" customHeight="1" x14ac:dyDescent="0.35">
      <c r="B266" s="46" t="s">
        <v>154</v>
      </c>
      <c r="C266" s="62" t="e">
        <f>SUM(C267:C268)</f>
        <v>#REF!</v>
      </c>
      <c r="D266" s="47" t="s">
        <v>17</v>
      </c>
      <c r="E266" s="126" t="s">
        <v>20</v>
      </c>
      <c r="F266" s="78"/>
      <c r="G266" s="34"/>
      <c r="U266" s="40"/>
    </row>
    <row r="267" spans="2:22" s="51" customFormat="1" ht="18" customHeight="1" x14ac:dyDescent="0.35">
      <c r="B267" s="13" t="str">
        <f>B11</f>
        <v>Residents on Weekly FOGO (sustainable service)</v>
      </c>
      <c r="C267" s="4" t="e">
        <f>ROUND(C186,-3)</f>
        <v>#REF!</v>
      </c>
      <c r="D267" s="2" t="s">
        <v>17</v>
      </c>
      <c r="E267" s="120" t="s">
        <v>20</v>
      </c>
      <c r="F267" s="79"/>
      <c r="G267" s="39"/>
      <c r="L267" s="49"/>
      <c r="M267" s="50"/>
      <c r="N267" s="34"/>
      <c r="O267" s="34"/>
      <c r="P267" s="34"/>
      <c r="Q267" s="34"/>
      <c r="R267" s="34"/>
      <c r="S267" s="34"/>
      <c r="T267" s="34"/>
      <c r="U267" s="34"/>
      <c r="V267" s="34"/>
    </row>
    <row r="268" spans="2:22" s="51" customFormat="1" ht="18" customHeight="1" x14ac:dyDescent="0.35">
      <c r="B268" s="13" t="str">
        <f>B15</f>
        <v>Residents on Weekly GW (old service)</v>
      </c>
      <c r="C268" s="4" t="e">
        <f>ROUND(C190,-3)</f>
        <v>#REF!</v>
      </c>
      <c r="D268" s="2" t="s">
        <v>17</v>
      </c>
      <c r="E268" s="120" t="s">
        <v>20</v>
      </c>
      <c r="F268" s="79"/>
      <c r="G268" s="39"/>
      <c r="L268" s="49"/>
      <c r="M268" s="50"/>
      <c r="N268" s="34"/>
      <c r="O268" s="34"/>
      <c r="P268" s="34"/>
      <c r="Q268" s="34"/>
      <c r="R268" s="34"/>
      <c r="S268" s="34"/>
      <c r="T268" s="34"/>
      <c r="U268" s="34"/>
      <c r="V268" s="34"/>
    </row>
    <row r="269" spans="2:22" ht="24.5" customHeight="1" x14ac:dyDescent="0.35">
      <c r="B269" s="46" t="s">
        <v>30</v>
      </c>
      <c r="C269" s="62" t="e">
        <f>SUM(C270:C271)</f>
        <v>#REF!</v>
      </c>
      <c r="D269" s="47" t="s">
        <v>17</v>
      </c>
      <c r="E269" s="126" t="s">
        <v>20</v>
      </c>
      <c r="F269" s="78"/>
      <c r="G269" s="34"/>
      <c r="U269" s="40"/>
    </row>
    <row r="270" spans="2:22" s="51" customFormat="1" ht="18" customHeight="1" x14ac:dyDescent="0.35">
      <c r="B270" s="13" t="str">
        <f>B11</f>
        <v>Residents on Weekly FOGO (sustainable service)</v>
      </c>
      <c r="C270" s="4" t="e">
        <f>ROUND(SUM(C198:C198,C201:C201,C204:C204),-3)</f>
        <v>#REF!</v>
      </c>
      <c r="D270" s="2" t="s">
        <v>17</v>
      </c>
      <c r="E270" s="120" t="s">
        <v>20</v>
      </c>
      <c r="F270" s="79"/>
      <c r="G270" s="39"/>
      <c r="L270" s="49"/>
      <c r="M270" s="50"/>
      <c r="N270" s="34"/>
      <c r="O270" s="34"/>
      <c r="P270" s="34"/>
      <c r="Q270" s="34"/>
      <c r="R270" s="34"/>
      <c r="S270" s="34"/>
      <c r="T270" s="34"/>
      <c r="U270" s="34"/>
      <c r="V270" s="34"/>
    </row>
    <row r="271" spans="2:22" s="51" customFormat="1" ht="18" customHeight="1" x14ac:dyDescent="0.35">
      <c r="B271" s="13" t="str">
        <f>B15</f>
        <v>Residents on Weekly GW (old service)</v>
      </c>
      <c r="C271" s="4" t="e">
        <f>ROUND(SUM(C199:C199,C202:C202,C205:C205),-3)</f>
        <v>#REF!</v>
      </c>
      <c r="D271" s="2" t="s">
        <v>17</v>
      </c>
      <c r="E271" s="120" t="s">
        <v>20</v>
      </c>
      <c r="F271" s="79"/>
      <c r="G271" s="39"/>
      <c r="L271" s="49"/>
      <c r="M271" s="50"/>
      <c r="N271" s="34"/>
      <c r="O271" s="34"/>
      <c r="P271" s="34"/>
      <c r="Q271" s="34"/>
      <c r="R271" s="34"/>
      <c r="S271" s="34"/>
      <c r="T271" s="34"/>
      <c r="U271" s="34"/>
      <c r="V271" s="34"/>
    </row>
    <row r="272" spans="2:22" ht="24.5" customHeight="1" x14ac:dyDescent="0.35">
      <c r="B272" s="46" t="s">
        <v>155</v>
      </c>
      <c r="C272" s="62"/>
      <c r="D272" s="47" t="s">
        <v>17</v>
      </c>
      <c r="E272" s="126" t="s">
        <v>20</v>
      </c>
      <c r="F272" s="78"/>
      <c r="G272" s="34"/>
      <c r="U272" s="40"/>
    </row>
    <row r="273" spans="2:22" s="51" customFormat="1" ht="24" customHeight="1" x14ac:dyDescent="0.35">
      <c r="B273" s="89" t="s">
        <v>155</v>
      </c>
      <c r="C273" s="90" t="e">
        <f>C207</f>
        <v>#REF!</v>
      </c>
      <c r="D273" s="91" t="s">
        <v>17</v>
      </c>
      <c r="E273" s="102" t="s">
        <v>20</v>
      </c>
      <c r="F273" s="93"/>
      <c r="G273" s="39"/>
      <c r="L273" s="49"/>
      <c r="M273" s="50"/>
      <c r="N273" s="34"/>
      <c r="O273" s="34"/>
      <c r="P273" s="34"/>
      <c r="Q273" s="34"/>
      <c r="R273" s="34"/>
      <c r="S273" s="34"/>
      <c r="T273" s="34"/>
      <c r="U273" s="34"/>
      <c r="V273" s="34"/>
    </row>
    <row r="274" spans="2:22" s="51" customFormat="1" ht="28" customHeight="1" x14ac:dyDescent="0.35">
      <c r="B274" s="94" t="s">
        <v>180</v>
      </c>
      <c r="C274" s="125" t="e">
        <f>SUM(C266,C269,C273)</f>
        <v>#REF!</v>
      </c>
      <c r="D274" s="127" t="s">
        <v>17</v>
      </c>
      <c r="E274" s="97" t="s">
        <v>20</v>
      </c>
      <c r="F274" s="121"/>
      <c r="G274" s="39"/>
      <c r="L274" s="49"/>
      <c r="M274" s="50"/>
      <c r="N274" s="34"/>
      <c r="O274" s="34"/>
      <c r="P274" s="34"/>
      <c r="Q274" s="34"/>
      <c r="R274" s="34"/>
      <c r="S274" s="34"/>
      <c r="T274" s="34"/>
      <c r="U274" s="34"/>
      <c r="V274" s="34"/>
    </row>
    <row r="275" spans="2:22" s="51" customFormat="1" ht="28" customHeight="1" x14ac:dyDescent="0.35">
      <c r="B275" s="142" t="s">
        <v>179</v>
      </c>
      <c r="C275" s="125" t="e">
        <f>ROUND(C224,-3)</f>
        <v>#REF!</v>
      </c>
      <c r="D275" s="127" t="s">
        <v>17</v>
      </c>
      <c r="E275" s="97" t="s">
        <v>20</v>
      </c>
      <c r="F275" s="121"/>
      <c r="G275" s="39"/>
      <c r="L275" s="49"/>
      <c r="M275" s="50"/>
      <c r="N275" s="34"/>
      <c r="O275" s="34"/>
      <c r="P275" s="34"/>
      <c r="Q275" s="34"/>
      <c r="R275" s="34"/>
      <c r="S275" s="34"/>
      <c r="T275" s="34"/>
      <c r="U275" s="34"/>
      <c r="V275" s="34"/>
    </row>
    <row r="276" spans="2:22" s="51" customFormat="1" ht="28" customHeight="1" x14ac:dyDescent="0.35">
      <c r="B276" s="94" t="s">
        <v>177</v>
      </c>
      <c r="C276" s="95" t="e">
        <f>C274-C275</f>
        <v>#REF!</v>
      </c>
      <c r="D276" s="127" t="s">
        <v>17</v>
      </c>
      <c r="E276" s="97" t="s">
        <v>20</v>
      </c>
      <c r="F276" s="121"/>
      <c r="G276" s="39"/>
      <c r="L276" s="49"/>
      <c r="M276" s="50"/>
      <c r="N276" s="34"/>
      <c r="O276" s="34"/>
      <c r="P276" s="34"/>
      <c r="Q276" s="34"/>
      <c r="R276" s="34"/>
      <c r="S276" s="34"/>
      <c r="T276" s="34"/>
      <c r="U276" s="34"/>
      <c r="V276" s="34"/>
    </row>
    <row r="277" spans="2:22" s="51" customFormat="1" ht="28" customHeight="1" x14ac:dyDescent="0.35">
      <c r="B277" s="142" t="s">
        <v>181</v>
      </c>
      <c r="C277" s="125" t="e">
        <f>C276-#REF!</f>
        <v>#REF!</v>
      </c>
      <c r="D277" s="127" t="s">
        <v>17</v>
      </c>
      <c r="E277" s="97" t="s">
        <v>20</v>
      </c>
      <c r="F277" s="121"/>
      <c r="G277" s="39"/>
      <c r="L277" s="49"/>
      <c r="M277" s="50"/>
      <c r="N277" s="34"/>
      <c r="O277" s="34"/>
      <c r="P277" s="34"/>
      <c r="Q277" s="34"/>
      <c r="R277" s="34"/>
      <c r="S277" s="34"/>
      <c r="T277" s="34"/>
      <c r="U277" s="34"/>
      <c r="V277" s="34"/>
    </row>
    <row r="278" spans="2:22" ht="14.5" x14ac:dyDescent="0.35">
      <c r="B278" s="34"/>
      <c r="C278" s="34"/>
      <c r="D278" s="34"/>
      <c r="E278" s="34"/>
      <c r="F278" s="34"/>
      <c r="V278" s="40"/>
    </row>
    <row r="279" spans="2:22" ht="14.5" x14ac:dyDescent="0.35">
      <c r="B279" s="34"/>
      <c r="C279" s="58"/>
      <c r="D279" s="34"/>
      <c r="E279" s="34"/>
      <c r="F279" s="34"/>
      <c r="V279" s="40"/>
    </row>
    <row r="280" spans="2:22" ht="14.5" x14ac:dyDescent="0.35">
      <c r="B280" s="34"/>
      <c r="C280" s="34"/>
      <c r="D280" s="34"/>
      <c r="E280" s="34"/>
      <c r="F280" s="34"/>
      <c r="V280" s="40"/>
    </row>
    <row r="281" spans="2:22" ht="14.5" x14ac:dyDescent="0.35">
      <c r="B281" s="34"/>
      <c r="C281" s="58"/>
      <c r="D281" s="34"/>
      <c r="E281" s="34"/>
      <c r="F281" s="34"/>
      <c r="V281" s="40"/>
    </row>
    <row r="282" spans="2:22" ht="14.5" x14ac:dyDescent="0.35">
      <c r="B282" s="34"/>
      <c r="C282" s="58"/>
      <c r="D282" s="34"/>
      <c r="E282" s="34"/>
      <c r="F282" s="34"/>
      <c r="V282" s="40"/>
    </row>
    <row r="283" spans="2:22" ht="14.5" x14ac:dyDescent="0.35">
      <c r="B283" s="34"/>
      <c r="C283" s="34"/>
      <c r="D283" s="34"/>
      <c r="E283" s="34"/>
      <c r="F283" s="34"/>
      <c r="V283" s="40"/>
    </row>
    <row r="284" spans="2:22" ht="14.5" x14ac:dyDescent="0.35">
      <c r="B284" s="34"/>
      <c r="C284" s="34"/>
      <c r="D284" s="34"/>
      <c r="E284" s="34"/>
      <c r="F284" s="34"/>
      <c r="V284" s="40"/>
    </row>
    <row r="285" spans="2:22" ht="14.5" x14ac:dyDescent="0.35">
      <c r="B285" s="34"/>
      <c r="C285" s="60"/>
      <c r="D285" s="34"/>
      <c r="E285" s="34"/>
      <c r="F285" s="34"/>
      <c r="V285" s="40"/>
    </row>
    <row r="286" spans="2:22" ht="14.5" x14ac:dyDescent="0.35">
      <c r="B286" s="34"/>
      <c r="C286" s="60"/>
      <c r="D286" s="34"/>
      <c r="E286" s="34"/>
      <c r="F286" s="34"/>
      <c r="G286" s="34"/>
      <c r="V286" s="40"/>
    </row>
    <row r="287" spans="2:22" ht="14.5" x14ac:dyDescent="0.35">
      <c r="B287" s="34"/>
      <c r="C287" s="58"/>
      <c r="D287" s="34"/>
      <c r="E287" s="34"/>
      <c r="F287" s="34"/>
      <c r="G287" s="34"/>
      <c r="V287" s="40"/>
    </row>
    <row r="288" spans="2:22" ht="14.5" x14ac:dyDescent="0.35">
      <c r="B288" s="34"/>
      <c r="C288" s="34"/>
      <c r="D288" s="34"/>
      <c r="E288" s="34"/>
      <c r="F288" s="34"/>
      <c r="G288" s="34"/>
      <c r="V288" s="40"/>
    </row>
    <row r="289" spans="2:22" ht="14.5" x14ac:dyDescent="0.35">
      <c r="B289" s="34"/>
      <c r="C289" s="34"/>
      <c r="D289" s="34"/>
      <c r="E289" s="34"/>
      <c r="F289" s="34"/>
      <c r="G289" s="34"/>
      <c r="V289" s="40"/>
    </row>
    <row r="290" spans="2:22" ht="14.5" x14ac:dyDescent="0.35">
      <c r="B290" s="34"/>
      <c r="C290" s="34"/>
      <c r="D290" s="34"/>
      <c r="E290" s="34"/>
      <c r="F290" s="34"/>
      <c r="G290" s="34"/>
      <c r="V290" s="40"/>
    </row>
    <row r="291" spans="2:22" ht="14.5" x14ac:dyDescent="0.35">
      <c r="B291" s="34"/>
      <c r="C291" s="34"/>
      <c r="D291" s="34"/>
      <c r="E291" s="34"/>
      <c r="F291" s="34"/>
      <c r="G291" s="34"/>
      <c r="V291" s="40"/>
    </row>
    <row r="292" spans="2:22" ht="14.5" x14ac:dyDescent="0.35">
      <c r="B292" s="34"/>
      <c r="C292" s="34"/>
      <c r="D292" s="34"/>
      <c r="E292" s="34"/>
      <c r="F292" s="34"/>
      <c r="G292" s="34"/>
      <c r="V292" s="40"/>
    </row>
    <row r="293" spans="2:22" ht="14.5" x14ac:dyDescent="0.35">
      <c r="B293" s="34"/>
      <c r="C293" s="34"/>
      <c r="D293" s="34"/>
      <c r="E293" s="34"/>
      <c r="F293" s="34"/>
      <c r="G293" s="34"/>
      <c r="V293" s="40"/>
    </row>
    <row r="294" spans="2:22" ht="14.5" x14ac:dyDescent="0.35">
      <c r="B294" s="34"/>
      <c r="C294" s="34"/>
      <c r="D294" s="34"/>
      <c r="E294" s="34"/>
      <c r="F294" s="34"/>
      <c r="G294" s="34"/>
      <c r="V294" s="40"/>
    </row>
  </sheetData>
  <mergeCells count="1">
    <mergeCell ref="B2:F2"/>
  </mergeCells>
  <phoneticPr fontId="17" type="noConversion"/>
  <dataValidations disablePrompts="1" count="1">
    <dataValidation type="list" allowBlank="1" showInputMessage="1" showErrorMessage="1" sqref="E253:E261 E125 E147:E184 E20:E88 E197:E210 E186:E194 E91:E98 E100:E114 E6:E8 E244:E251 E116:E122 E12:E18 E143:E145 E139:E141 E128:E133 E212:E242 E266:E277" xr:uid="{B8E1CCEA-EFB4-4367-99FD-39A25BF860DE}">
      <formula1>#REF!</formula1>
    </dataValidation>
  </dataValidations>
  <pageMargins left="0.7" right="0.7" top="0.75" bottom="0.75" header="0.3" footer="0.3"/>
  <pageSetup paperSize="9" orientation="portrait" r:id="rId1"/>
  <ignoredErrors>
    <ignoredError sqref="C179"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21ab64e-2cd8-47f9-aa11-8cd9fa442d06">
      <Terms xmlns="http://schemas.microsoft.com/office/infopath/2007/PartnerControls"/>
    </lcf76f155ced4ddcb4097134ff3c332f>
    <TaxCatchAll xmlns="013ef601-58df-40e9-a5ec-e66aed11625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0F59724343E44409709E3E0688EC116" ma:contentTypeVersion="19" ma:contentTypeDescription="Create a new document." ma:contentTypeScope="" ma:versionID="7e95ba1a9e5cd4d3e8eacbb78127a4d8">
  <xsd:schema xmlns:xsd="http://www.w3.org/2001/XMLSchema" xmlns:xs="http://www.w3.org/2001/XMLSchema" xmlns:p="http://schemas.microsoft.com/office/2006/metadata/properties" xmlns:ns2="013ef601-58df-40e9-a5ec-e66aed11625b" xmlns:ns3="821ab64e-2cd8-47f9-aa11-8cd9fa442d06" targetNamespace="http://schemas.microsoft.com/office/2006/metadata/properties" ma:root="true" ma:fieldsID="16592b083cd7a7596c3deb53400ac3c9" ns2:_="" ns3:_="">
    <xsd:import namespace="013ef601-58df-40e9-a5ec-e66aed11625b"/>
    <xsd:import namespace="821ab64e-2cd8-47f9-aa11-8cd9fa442d06"/>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ef601-58df-40e9-a5ec-e66aed11625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5efcbc8a-e9bd-495e-8f41-27de6b6b4edc}" ma:internalName="TaxCatchAll" ma:showField="CatchAllData" ma:web="013ef601-58df-40e9-a5ec-e66aed11625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21ab64e-2cd8-47f9-aa11-8cd9fa442d06"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4a439d87-3418-4a6f-90ec-d82ec39711b1"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A3677B-9917-4A80-B79D-5210333DC37B}">
  <ds:schemaRefs>
    <ds:schemaRef ds:uri="http://schemas.microsoft.com/sharepoint/v3/contenttype/forms"/>
  </ds:schemaRefs>
</ds:datastoreItem>
</file>

<file path=customXml/itemProps2.xml><?xml version="1.0" encoding="utf-8"?>
<ds:datastoreItem xmlns:ds="http://schemas.openxmlformats.org/officeDocument/2006/customXml" ds:itemID="{1965188C-9456-456F-B15C-05EFB27D953E}">
  <ds:schemaRefs>
    <ds:schemaRef ds:uri="http://purl.org/dc/terms/"/>
    <ds:schemaRef ds:uri="http://schemas.microsoft.com/office/2006/documentManagement/types"/>
    <ds:schemaRef ds:uri="http://schemas.microsoft.com/office/infopath/2007/PartnerControls"/>
    <ds:schemaRef ds:uri="http://purl.org/dc/elements/1.1/"/>
    <ds:schemaRef ds:uri="013ef601-58df-40e9-a5ec-e66aed11625b"/>
    <ds:schemaRef ds:uri="http://schemas.microsoft.com/office/2006/metadata/properties"/>
    <ds:schemaRef ds:uri="http://purl.org/dc/dcmitype/"/>
    <ds:schemaRef ds:uri="http://www.w3.org/XML/1998/namespace"/>
    <ds:schemaRef ds:uri="http://schemas.openxmlformats.org/package/2006/metadata/core-properties"/>
    <ds:schemaRef ds:uri="821ab64e-2cd8-47f9-aa11-8cd9fa442d06"/>
  </ds:schemaRefs>
</ds:datastoreItem>
</file>

<file path=customXml/itemProps3.xml><?xml version="1.0" encoding="utf-8"?>
<ds:datastoreItem xmlns:ds="http://schemas.openxmlformats.org/officeDocument/2006/customXml" ds:itemID="{27547A40-796E-48D1-982E-A19563BF69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3ef601-58df-40e9-a5ec-e66aed11625b"/>
    <ds:schemaRef ds:uri="821ab64e-2cd8-47f9-aa11-8cd9fa442d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Inputs &amp; Values</vt:lpstr>
      <vt:lpstr>Sustainable Kerbside Model</vt:lpstr>
      <vt:lpstr>Modelling Summary</vt:lpstr>
      <vt:lpstr>Model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Kristian</dc:creator>
  <cp:lastModifiedBy>Kristian Le Gallou</cp:lastModifiedBy>
  <dcterms:created xsi:type="dcterms:W3CDTF">2020-11-11T04:37:19Z</dcterms:created>
  <dcterms:modified xsi:type="dcterms:W3CDTF">2023-05-16T06:02:03Z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0x010100A0F59724343E44409709E3E0688EC116</vt:lpwstr>
  </property>
  <property fmtid="{D5CDD505-2E9C-101B-9397-08002B2CF9AE}" pid="3" name="MediaServiceImageTags">
    <vt:lpwstr/>
  </property>
</Properties>
</file>