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ttps://rawtec.sharepoint.com/Current Projects/GISA Office Calculator Tool/06 Reports &amp; Outputs/2023 Weight based update/"/>
    </mc:Choice>
  </mc:AlternateContent>
  <xr:revisionPtr revIDLastSave="4591" documentId="8_{23E45E97-6119-4FEB-AB9F-A3BE723EC819}" xr6:coauthVersionLast="47" xr6:coauthVersionMax="47" xr10:uidLastSave="{952029E4-C5AD-4CA2-BF7E-2A3DF19651CD}"/>
  <workbookProtection workbookAlgorithmName="SHA-512" workbookHashValue="pxyQ74skEalYxW2gIStzXSgdaBp2gz489u66MeW6Ndljoo1+sO9TTCLC11i+rTUi7HrU6W/kvzTIfLcewh9Kcw==" workbookSaltValue="fbWY1wpqoHSS1dwGngoJUg==" workbookSpinCount="100000" lockStructure="1"/>
  <bookViews>
    <workbookView xWindow="28680" yWindow="-120" windowWidth="29040" windowHeight="15720" xr2:uid="{00000000-000D-0000-FFFF-FFFF00000000}"/>
  </bookViews>
  <sheets>
    <sheet name="Introduction" sheetId="1" r:id="rId1"/>
    <sheet name="1 Review details" sheetId="12" r:id="rId2"/>
    <sheet name="2a Enter data - Est. Volumes" sheetId="2" r:id="rId3"/>
    <sheet name="2b Enter data - Actual weight" sheetId="11" r:id="rId4"/>
    <sheet name="3 Waste Report" sheetId="3" r:id="rId5"/>
    <sheet name="4 Bin Size Guide" sheetId="10" r:id="rId6"/>
    <sheet name="Lists - Hidden" sheetId="4" state="hidden" r:id="rId7"/>
    <sheet name="Summary - Hidden" sheetId="13" state="hidden" r:id="rId8"/>
  </sheets>
  <definedNames>
    <definedName name="Batteries" localSheetId="7">'Summary - Hidden'!#REF!</definedName>
    <definedName name="Batteries">'Lists - Hidden'!$C$64:$C$82</definedName>
    <definedName name="Bottles" localSheetId="7">'Summary - Hidden'!#REF!</definedName>
    <definedName name="Bottles">'Lists - Hidden'!$B$64:$B$82</definedName>
    <definedName name="Card" localSheetId="7">'Summary - Hidden'!#REF!</definedName>
    <definedName name="Card">'Lists - Hidden'!$D$64:$D$77</definedName>
    <definedName name="Cartridge" localSheetId="7">'Summary - Hidden'!#REF!</definedName>
    <definedName name="Cartridge">'Lists - Hidden'!$S$64:$S$82</definedName>
    <definedName name="ComRecover" localSheetId="7">'Summary - Hidden'!#REF!</definedName>
    <definedName name="ComRecover">'Lists - Hidden'!$F$64:$F$82</definedName>
    <definedName name="ComRecycle" localSheetId="7">'Summary - Hidden'!#REF!</definedName>
    <definedName name="ComRecycle">'Lists - Hidden'!$E$64:$E$82</definedName>
    <definedName name="ConPap" localSheetId="7">'Summary - Hidden'!#REF!</definedName>
    <definedName name="ConPap">'Lists - Hidden'!$G$64:$G$77</definedName>
    <definedName name="ConPaper" localSheetId="7">'Summary - Hidden'!#REF!</definedName>
    <definedName name="ConPaper">'Lists - Hidden'!$G$64:$G$77</definedName>
    <definedName name="Custom1" localSheetId="7">'Summary - Hidden'!#REF!</definedName>
    <definedName name="Custom1">'Lists - Hidden'!$V$64:$V$83</definedName>
    <definedName name="Custom2" localSheetId="7">'Summary - Hidden'!#REF!</definedName>
    <definedName name="Custom2">'Lists - Hidden'!$W$64:$W$83</definedName>
    <definedName name="Custom3" localSheetId="7">'Summary - Hidden'!#REF!</definedName>
    <definedName name="Custom3">'Lists - Hidden'!$X$64:$X$83</definedName>
    <definedName name="Custom4" localSheetId="7">'Summary - Hidden'!#REF!</definedName>
    <definedName name="Custom4">'Lists - Hidden'!$Y$64:$Y$83</definedName>
    <definedName name="Custom5" localSheetId="7">'Summary - Hidden'!#REF!</definedName>
    <definedName name="Custom5">'Lists - Hidden'!$Z$64:$Z$83</definedName>
    <definedName name="Dry" localSheetId="7">'Summary - Hidden'!#REF!</definedName>
    <definedName name="Dry">'Lists - Hidden'!$H$64:$H$82</definedName>
    <definedName name="EwasteRecover" localSheetId="7">'Summary - Hidden'!#REF!</definedName>
    <definedName name="EwasteRecover">'Lists - Hidden'!$J$64:$J$82</definedName>
    <definedName name="EwasteRecycle" localSheetId="7">'Summary - Hidden'!#REF!</definedName>
    <definedName name="EwasteRecycle">'Lists - Hidden'!$I$64:$I$82</definedName>
    <definedName name="FOGO" localSheetId="7">'Summary - Hidden'!#REF!</definedName>
    <definedName name="FOGO">'Lists - Hidden'!$P$64:$P$82</definedName>
    <definedName name="HardDispose" localSheetId="7">'Summary - Hidden'!#REF!</definedName>
    <definedName name="HardDispose">'Lists - Hidden'!$M$64:$M$82</definedName>
    <definedName name="HardRecover" localSheetId="7">'Summary - Hidden'!#REF!</definedName>
    <definedName name="HardRecover">'Lists - Hidden'!$N$64:$N$82</definedName>
    <definedName name="HardReuse" localSheetId="7">'Summary - Hidden'!#REF!</definedName>
    <definedName name="HardReuse">'Lists - Hidden'!$O$64:$O$82</definedName>
    <definedName name="Ladfill" localSheetId="7">'Summary - Hidden'!#REF!</definedName>
    <definedName name="Ladfill">'Lists - Hidden'!$L$64:$L$82</definedName>
    <definedName name="Lights" localSheetId="7">'Summary - Hidden'!#REF!</definedName>
    <definedName name="Lights">'Lists - Hidden'!$K$64:$K$82</definedName>
    <definedName name="Paper" localSheetId="7">'Summary - Hidden'!#REF!</definedName>
    <definedName name="Paper">'Lists - Hidden'!$R$64:$R$82</definedName>
    <definedName name="PaperCard" localSheetId="7">'Summary - Hidden'!#REF!</definedName>
    <definedName name="PaperCard">'Lists - Hidden'!$Q$64:$Q$82</definedName>
    <definedName name="SoftRecover" localSheetId="7">'Summary - Hidden'!#REF!</definedName>
    <definedName name="SoftRecover">'Lists - Hidden'!$U$64:$U$82</definedName>
    <definedName name="SoftRecycle" localSheetId="7">'Summary - Hidden'!#REF!</definedName>
    <definedName name="SoftRecycle">'Lists - Hidden'!$T$64:$T$82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2" i="13" l="1"/>
  <c r="I13" i="13"/>
  <c r="I14" i="13"/>
  <c r="I15" i="13"/>
  <c r="I20" i="13"/>
  <c r="I21" i="13"/>
  <c r="I22" i="13"/>
  <c r="I23" i="13"/>
  <c r="G8" i="13"/>
  <c r="I8" i="13" s="1"/>
  <c r="G9" i="13"/>
  <c r="I9" i="13" s="1"/>
  <c r="G10" i="13"/>
  <c r="I10" i="13" s="1"/>
  <c r="G11" i="13"/>
  <c r="I11" i="13" s="1"/>
  <c r="G12" i="13"/>
  <c r="G13" i="13"/>
  <c r="G14" i="13"/>
  <c r="G15" i="13"/>
  <c r="G16" i="13"/>
  <c r="I16" i="13" s="1"/>
  <c r="G17" i="13"/>
  <c r="I17" i="13" s="1"/>
  <c r="G18" i="13"/>
  <c r="I18" i="13" s="1"/>
  <c r="G19" i="13"/>
  <c r="I19" i="13" s="1"/>
  <c r="G20" i="13"/>
  <c r="G21" i="13"/>
  <c r="G22" i="13"/>
  <c r="G23" i="13"/>
  <c r="G24" i="13"/>
  <c r="I24" i="13" s="1"/>
  <c r="G25" i="13"/>
  <c r="I25" i="13" s="1"/>
  <c r="G26" i="13"/>
  <c r="I26" i="13" s="1"/>
  <c r="G7" i="13"/>
  <c r="I7" i="13" s="1"/>
  <c r="B78" i="13"/>
  <c r="B79" i="13"/>
  <c r="B80" i="13"/>
  <c r="B81" i="13"/>
  <c r="B77" i="13"/>
  <c r="W10" i="2"/>
  <c r="W11" i="2"/>
  <c r="W12" i="2"/>
  <c r="W13" i="2"/>
  <c r="W14" i="2"/>
  <c r="W15" i="2"/>
  <c r="W16" i="2"/>
  <c r="W17" i="2"/>
  <c r="W18" i="2"/>
  <c r="W19" i="2"/>
  <c r="W20" i="2"/>
  <c r="W21" i="2"/>
  <c r="W22" i="2"/>
  <c r="W23" i="2"/>
  <c r="W24" i="2"/>
  <c r="W25" i="2"/>
  <c r="W26" i="2"/>
  <c r="W27" i="2"/>
  <c r="W28" i="2"/>
  <c r="T10" i="2"/>
  <c r="T11" i="2"/>
  <c r="T12" i="2"/>
  <c r="T13" i="2"/>
  <c r="T14" i="2"/>
  <c r="T15" i="2"/>
  <c r="T16" i="2"/>
  <c r="T17" i="2"/>
  <c r="T18" i="2"/>
  <c r="T19" i="2"/>
  <c r="T20" i="2"/>
  <c r="T21" i="2"/>
  <c r="T22" i="2"/>
  <c r="T23" i="2"/>
  <c r="T24" i="2"/>
  <c r="T25" i="2"/>
  <c r="T26" i="2"/>
  <c r="T27" i="2"/>
  <c r="T28" i="2"/>
  <c r="G52" i="13" l="1"/>
  <c r="F52" i="13"/>
  <c r="G51" i="13"/>
  <c r="F51" i="13"/>
  <c r="G50" i="13"/>
  <c r="F50" i="13"/>
  <c r="G49" i="13"/>
  <c r="F49" i="13"/>
  <c r="G48" i="13"/>
  <c r="F48" i="13"/>
  <c r="G47" i="13"/>
  <c r="F47" i="13"/>
  <c r="G46" i="13"/>
  <c r="F46" i="13"/>
  <c r="G44" i="13"/>
  <c r="F44" i="13"/>
  <c r="G43" i="13"/>
  <c r="F43" i="13"/>
  <c r="G42" i="13"/>
  <c r="F42" i="13"/>
  <c r="G41" i="13"/>
  <c r="F41" i="13"/>
  <c r="G40" i="13"/>
  <c r="F40" i="13"/>
  <c r="G39" i="13"/>
  <c r="F39" i="13"/>
  <c r="G38" i="13"/>
  <c r="F38" i="13"/>
  <c r="G37" i="13"/>
  <c r="F37" i="13"/>
  <c r="G36" i="13"/>
  <c r="F36" i="13"/>
  <c r="G35" i="13"/>
  <c r="F35" i="13"/>
  <c r="G34" i="13"/>
  <c r="F34" i="13"/>
  <c r="G33" i="13"/>
  <c r="F33" i="13"/>
  <c r="F26" i="13"/>
  <c r="F25" i="13"/>
  <c r="F24" i="13"/>
  <c r="F23" i="13"/>
  <c r="F22" i="13"/>
  <c r="F21" i="13"/>
  <c r="F20" i="13"/>
  <c r="F19" i="13"/>
  <c r="F18" i="13"/>
  <c r="F17" i="13"/>
  <c r="F16" i="13"/>
  <c r="F15" i="13"/>
  <c r="F14" i="13"/>
  <c r="F13" i="13"/>
  <c r="F12" i="13"/>
  <c r="F11" i="13"/>
  <c r="F10" i="13"/>
  <c r="F9" i="13"/>
  <c r="B34" i="13"/>
  <c r="B35" i="13"/>
  <c r="B36" i="13"/>
  <c r="B37" i="13"/>
  <c r="B38" i="13"/>
  <c r="B39" i="13"/>
  <c r="C39" i="13"/>
  <c r="B40" i="13"/>
  <c r="C40" i="13"/>
  <c r="B41" i="13"/>
  <c r="C41" i="13"/>
  <c r="B42" i="13"/>
  <c r="C42" i="13"/>
  <c r="B43" i="13"/>
  <c r="C43" i="13"/>
  <c r="B44" i="13"/>
  <c r="C44" i="13"/>
  <c r="B45" i="13"/>
  <c r="B46" i="13"/>
  <c r="C46" i="13"/>
  <c r="B47" i="13"/>
  <c r="B48" i="13"/>
  <c r="C48" i="13"/>
  <c r="B49" i="13"/>
  <c r="C49" i="13"/>
  <c r="B50" i="13"/>
  <c r="B51" i="13"/>
  <c r="B52" i="13"/>
  <c r="C52" i="13"/>
  <c r="R9" i="11"/>
  <c r="C34" i="13" s="1"/>
  <c r="R10" i="11"/>
  <c r="C35" i="13" s="1"/>
  <c r="R11" i="11"/>
  <c r="C36" i="13" s="1"/>
  <c r="R12" i="11"/>
  <c r="C37" i="13" s="1"/>
  <c r="R13" i="11"/>
  <c r="C38" i="13" s="1"/>
  <c r="R14" i="11"/>
  <c r="R15" i="11"/>
  <c r="R16" i="11"/>
  <c r="R17" i="11"/>
  <c r="R18" i="11"/>
  <c r="R19" i="11"/>
  <c r="R20" i="11"/>
  <c r="C45" i="13" s="1"/>
  <c r="R21" i="11"/>
  <c r="R22" i="11"/>
  <c r="C47" i="13" s="1"/>
  <c r="R23" i="11"/>
  <c r="R24" i="11"/>
  <c r="R25" i="11"/>
  <c r="C50" i="13" s="1"/>
  <c r="R26" i="11"/>
  <c r="C51" i="13" s="1"/>
  <c r="R27" i="11"/>
  <c r="R8" i="11"/>
  <c r="AH27" i="11"/>
  <c r="AH26" i="11"/>
  <c r="AH25" i="11"/>
  <c r="AH24" i="11"/>
  <c r="AH23" i="11"/>
  <c r="AH22" i="11"/>
  <c r="AH21" i="11"/>
  <c r="AH20" i="11"/>
  <c r="AH19" i="11"/>
  <c r="AH18" i="11"/>
  <c r="AH17" i="11"/>
  <c r="AH16" i="11"/>
  <c r="AH15" i="11"/>
  <c r="AH14" i="11"/>
  <c r="AH13" i="11"/>
  <c r="AH12" i="11"/>
  <c r="AH11" i="11"/>
  <c r="AH10" i="11"/>
  <c r="AH9" i="11"/>
  <c r="AH8" i="11"/>
  <c r="B8" i="13"/>
  <c r="B9" i="13"/>
  <c r="B10" i="13"/>
  <c r="B11" i="13"/>
  <c r="B12" i="13"/>
  <c r="B13" i="13"/>
  <c r="B14" i="13"/>
  <c r="B15" i="13"/>
  <c r="B16" i="13"/>
  <c r="B17" i="13"/>
  <c r="B18" i="13"/>
  <c r="B19" i="13"/>
  <c r="B20" i="13"/>
  <c r="B21" i="13"/>
  <c r="B22" i="13"/>
  <c r="B23" i="13"/>
  <c r="B24" i="13"/>
  <c r="B25" i="13"/>
  <c r="B26" i="13"/>
  <c r="X11" i="2"/>
  <c r="X12" i="2"/>
  <c r="X13" i="2"/>
  <c r="X14" i="2"/>
  <c r="X15" i="2"/>
  <c r="X16" i="2"/>
  <c r="X17" i="2"/>
  <c r="X18" i="2"/>
  <c r="X19" i="2"/>
  <c r="X20" i="2"/>
  <c r="X21" i="2"/>
  <c r="X22" i="2"/>
  <c r="X23" i="2"/>
  <c r="X24" i="2"/>
  <c r="X25" i="2"/>
  <c r="X26" i="2"/>
  <c r="X27" i="2"/>
  <c r="X28" i="2"/>
  <c r="J12" i="2"/>
  <c r="K12" i="2" s="1"/>
  <c r="Q12" i="2" s="1"/>
  <c r="L12" i="2"/>
  <c r="M12" i="2"/>
  <c r="J13" i="2"/>
  <c r="K13" i="2" s="1"/>
  <c r="Q13" i="2" s="1"/>
  <c r="L13" i="2"/>
  <c r="M13" i="2"/>
  <c r="J14" i="2"/>
  <c r="K14" i="2" s="1"/>
  <c r="Q14" i="2" s="1"/>
  <c r="L14" i="2"/>
  <c r="M14" i="2"/>
  <c r="J15" i="2"/>
  <c r="K15" i="2" s="1"/>
  <c r="Q15" i="2" s="1"/>
  <c r="L15" i="2"/>
  <c r="M15" i="2"/>
  <c r="J16" i="2"/>
  <c r="K16" i="2" s="1"/>
  <c r="Q16" i="2" s="1"/>
  <c r="L16" i="2"/>
  <c r="M16" i="2"/>
  <c r="J17" i="2"/>
  <c r="K17" i="2" s="1"/>
  <c r="Q17" i="2" s="1"/>
  <c r="L17" i="2"/>
  <c r="M17" i="2"/>
  <c r="J18" i="2"/>
  <c r="K18" i="2"/>
  <c r="Q18" i="2" s="1"/>
  <c r="L18" i="2"/>
  <c r="M18" i="2"/>
  <c r="J19" i="2"/>
  <c r="K19" i="2" s="1"/>
  <c r="Q19" i="2" s="1"/>
  <c r="L19" i="2"/>
  <c r="M19" i="2"/>
  <c r="J20" i="2"/>
  <c r="K20" i="2" s="1"/>
  <c r="Q20" i="2" s="1"/>
  <c r="L20" i="2"/>
  <c r="M20" i="2"/>
  <c r="J21" i="2"/>
  <c r="K21" i="2" s="1"/>
  <c r="Q21" i="2" s="1"/>
  <c r="L21" i="2"/>
  <c r="M21" i="2"/>
  <c r="J22" i="2"/>
  <c r="K22" i="2"/>
  <c r="Q22" i="2" s="1"/>
  <c r="L22" i="2"/>
  <c r="M22" i="2"/>
  <c r="J23" i="2"/>
  <c r="K23" i="2" s="1"/>
  <c r="Q23" i="2" s="1"/>
  <c r="L23" i="2"/>
  <c r="M23" i="2"/>
  <c r="J24" i="2"/>
  <c r="K24" i="2" s="1"/>
  <c r="Q24" i="2" s="1"/>
  <c r="L24" i="2"/>
  <c r="M24" i="2"/>
  <c r="J25" i="2"/>
  <c r="K25" i="2"/>
  <c r="Q25" i="2" s="1"/>
  <c r="L25" i="2"/>
  <c r="M25" i="2"/>
  <c r="J26" i="2"/>
  <c r="K26" i="2" s="1"/>
  <c r="Q26" i="2" s="1"/>
  <c r="L26" i="2"/>
  <c r="M26" i="2"/>
  <c r="J27" i="2"/>
  <c r="K27" i="2" s="1"/>
  <c r="Q27" i="2" s="1"/>
  <c r="L27" i="2"/>
  <c r="M27" i="2"/>
  <c r="J28" i="2"/>
  <c r="K28" i="2" s="1"/>
  <c r="Q28" i="2" s="1"/>
  <c r="L28" i="2"/>
  <c r="M28" i="2"/>
  <c r="L11" i="2"/>
  <c r="M11" i="2"/>
  <c r="AG27" i="11" l="1"/>
  <c r="AF27" i="11"/>
  <c r="AG26" i="11"/>
  <c r="AF26" i="11"/>
  <c r="AG25" i="11"/>
  <c r="AF25" i="11"/>
  <c r="AG24" i="11"/>
  <c r="AF24" i="11"/>
  <c r="AG23" i="11"/>
  <c r="AF23" i="11"/>
  <c r="AG22" i="11"/>
  <c r="AF22" i="11"/>
  <c r="AF9" i="11"/>
  <c r="AG9" i="11"/>
  <c r="AF10" i="11"/>
  <c r="AG10" i="11"/>
  <c r="AF11" i="11"/>
  <c r="AG11" i="11"/>
  <c r="AF12" i="11"/>
  <c r="AG12" i="11"/>
  <c r="AF13" i="11"/>
  <c r="AG13" i="11"/>
  <c r="AF14" i="11"/>
  <c r="AG14" i="11"/>
  <c r="AF15" i="11"/>
  <c r="AG15" i="11"/>
  <c r="AF16" i="11"/>
  <c r="AG16" i="11"/>
  <c r="AF17" i="11"/>
  <c r="AG17" i="11"/>
  <c r="AF18" i="11"/>
  <c r="AG18" i="11"/>
  <c r="AF19" i="11"/>
  <c r="AG19" i="11"/>
  <c r="AF20" i="11"/>
  <c r="F45" i="13" s="1"/>
  <c r="AG20" i="11"/>
  <c r="G45" i="13" s="1"/>
  <c r="AF21" i="11"/>
  <c r="AG21" i="11"/>
  <c r="AG8" i="11"/>
  <c r="AF8" i="11"/>
  <c r="B7" i="13"/>
  <c r="B33" i="13"/>
  <c r="AE28" i="11"/>
  <c r="AD28" i="11"/>
  <c r="AC28" i="11"/>
  <c r="AB28" i="11"/>
  <c r="AA28" i="11"/>
  <c r="Z28" i="11"/>
  <c r="Y28" i="11"/>
  <c r="X28" i="11"/>
  <c r="W28" i="11"/>
  <c r="V28" i="11"/>
  <c r="U28" i="11"/>
  <c r="T28" i="11"/>
  <c r="Q28" i="11"/>
  <c r="P28" i="11"/>
  <c r="O28" i="11"/>
  <c r="N28" i="11"/>
  <c r="M28" i="11"/>
  <c r="L28" i="11"/>
  <c r="K28" i="11"/>
  <c r="J28" i="11"/>
  <c r="I28" i="11"/>
  <c r="H28" i="11"/>
  <c r="G28" i="11"/>
  <c r="J78" i="13" l="1"/>
  <c r="I57" i="13"/>
  <c r="I79" i="13"/>
  <c r="G75" i="13"/>
  <c r="J71" i="13"/>
  <c r="I58" i="13"/>
  <c r="F64" i="13"/>
  <c r="J57" i="13"/>
  <c r="J81" i="13"/>
  <c r="H79" i="13"/>
  <c r="I76" i="13"/>
  <c r="J73" i="13"/>
  <c r="H71" i="13"/>
  <c r="I68" i="13"/>
  <c r="J65" i="13"/>
  <c r="F79" i="13"/>
  <c r="F75" i="13"/>
  <c r="F71" i="13"/>
  <c r="F76" i="13"/>
  <c r="H76" i="13"/>
  <c r="I73" i="13"/>
  <c r="J70" i="13"/>
  <c r="H68" i="13"/>
  <c r="I65" i="13"/>
  <c r="J62" i="13"/>
  <c r="F57" i="13"/>
  <c r="G78" i="13"/>
  <c r="G74" i="13"/>
  <c r="G70" i="13"/>
  <c r="G66" i="13"/>
  <c r="G62" i="13"/>
  <c r="G58" i="13"/>
  <c r="I74" i="13"/>
  <c r="I71" i="13"/>
  <c r="H81" i="13"/>
  <c r="I78" i="13"/>
  <c r="J75" i="13"/>
  <c r="H73" i="13"/>
  <c r="I70" i="13"/>
  <c r="H65" i="13"/>
  <c r="I62" i="13"/>
  <c r="G57" i="13"/>
  <c r="F78" i="13"/>
  <c r="F74" i="13"/>
  <c r="F70" i="13"/>
  <c r="F66" i="13"/>
  <c r="F62" i="13"/>
  <c r="F58" i="13"/>
  <c r="J79" i="13"/>
  <c r="H69" i="13"/>
  <c r="F80" i="13"/>
  <c r="F68" i="13"/>
  <c r="J76" i="13"/>
  <c r="H66" i="13"/>
  <c r="G79" i="13"/>
  <c r="G71" i="13"/>
  <c r="I81" i="13"/>
  <c r="J80" i="13"/>
  <c r="H78" i="13"/>
  <c r="I75" i="13"/>
  <c r="J72" i="13"/>
  <c r="H70" i="13"/>
  <c r="J64" i="13"/>
  <c r="H62" i="13"/>
  <c r="G81" i="13"/>
  <c r="G77" i="13"/>
  <c r="G73" i="13"/>
  <c r="G69" i="13"/>
  <c r="G65" i="13"/>
  <c r="G61" i="13"/>
  <c r="H74" i="13"/>
  <c r="I80" i="13"/>
  <c r="J77" i="13"/>
  <c r="H75" i="13"/>
  <c r="I72" i="13"/>
  <c r="J69" i="13"/>
  <c r="I64" i="13"/>
  <c r="F81" i="13"/>
  <c r="F77" i="13"/>
  <c r="F73" i="13"/>
  <c r="F69" i="13"/>
  <c r="F65" i="13"/>
  <c r="F61" i="13"/>
  <c r="H77" i="13"/>
  <c r="I66" i="13"/>
  <c r="F72" i="13"/>
  <c r="J68" i="13"/>
  <c r="H58" i="13"/>
  <c r="H57" i="13"/>
  <c r="H80" i="13"/>
  <c r="I77" i="13"/>
  <c r="J74" i="13"/>
  <c r="H72" i="13"/>
  <c r="I69" i="13"/>
  <c r="J66" i="13"/>
  <c r="H64" i="13"/>
  <c r="J58" i="13"/>
  <c r="G80" i="13"/>
  <c r="G76" i="13"/>
  <c r="G72" i="13"/>
  <c r="G68" i="13"/>
  <c r="G64" i="13"/>
  <c r="D57" i="13"/>
  <c r="D65" i="13"/>
  <c r="D62" i="13"/>
  <c r="D70" i="13"/>
  <c r="D73" i="13"/>
  <c r="D76" i="13"/>
  <c r="D68" i="13"/>
  <c r="D75" i="13"/>
  <c r="D74" i="13"/>
  <c r="D66" i="13"/>
  <c r="D58" i="13"/>
  <c r="D72" i="13"/>
  <c r="D64" i="13"/>
  <c r="D71" i="13"/>
  <c r="F28" i="11"/>
  <c r="C33" i="13"/>
  <c r="D16" i="12"/>
  <c r="C64" i="3"/>
  <c r="C65" i="3"/>
  <c r="C66" i="3"/>
  <c r="C67" i="3"/>
  <c r="C63" i="3"/>
  <c r="T9" i="2"/>
  <c r="W9" i="2"/>
  <c r="G59" i="13" s="1"/>
  <c r="G60" i="13" l="1"/>
  <c r="H34" i="13"/>
  <c r="H38" i="13"/>
  <c r="H42" i="13"/>
  <c r="H46" i="13"/>
  <c r="H50" i="13"/>
  <c r="I34" i="13"/>
  <c r="I38" i="13"/>
  <c r="I42" i="13"/>
  <c r="I46" i="13"/>
  <c r="I50" i="13"/>
  <c r="H11" i="13"/>
  <c r="I60" i="13"/>
  <c r="H12" i="13"/>
  <c r="H35" i="13"/>
  <c r="H39" i="13"/>
  <c r="H43" i="13"/>
  <c r="H47" i="13"/>
  <c r="H51" i="13"/>
  <c r="H9" i="13"/>
  <c r="H13" i="13"/>
  <c r="H17" i="13"/>
  <c r="H21" i="13"/>
  <c r="H25" i="13"/>
  <c r="I35" i="13"/>
  <c r="I39" i="13"/>
  <c r="I43" i="13"/>
  <c r="I47" i="13"/>
  <c r="I51" i="13"/>
  <c r="H15" i="13"/>
  <c r="I37" i="13"/>
  <c r="H33" i="13"/>
  <c r="H16" i="13"/>
  <c r="I41" i="13"/>
  <c r="H36" i="13"/>
  <c r="H40" i="13"/>
  <c r="H44" i="13"/>
  <c r="H48" i="13"/>
  <c r="H52" i="13"/>
  <c r="H10" i="13"/>
  <c r="H14" i="13"/>
  <c r="H18" i="13"/>
  <c r="H22" i="13"/>
  <c r="H26" i="13"/>
  <c r="I52" i="13"/>
  <c r="H37" i="13"/>
  <c r="H45" i="13"/>
  <c r="I33" i="13"/>
  <c r="H23" i="13"/>
  <c r="I49" i="13"/>
  <c r="H20" i="13"/>
  <c r="I36" i="13"/>
  <c r="I40" i="13"/>
  <c r="I44" i="13"/>
  <c r="I48" i="13"/>
  <c r="H41" i="13"/>
  <c r="H49" i="13"/>
  <c r="H19" i="13"/>
  <c r="I45" i="13"/>
  <c r="O13" i="2"/>
  <c r="D11" i="13" s="1"/>
  <c r="O21" i="2"/>
  <c r="D19" i="13" s="1"/>
  <c r="O23" i="2"/>
  <c r="D21" i="13" s="1"/>
  <c r="O18" i="2"/>
  <c r="D16" i="13" s="1"/>
  <c r="O11" i="2"/>
  <c r="D9" i="13" s="1"/>
  <c r="O12" i="2"/>
  <c r="D10" i="13" s="1"/>
  <c r="O14" i="2"/>
  <c r="D12" i="13" s="1"/>
  <c r="O22" i="2"/>
  <c r="D20" i="13" s="1"/>
  <c r="AI9" i="11"/>
  <c r="O15" i="2"/>
  <c r="D13" i="13" s="1"/>
  <c r="O19" i="2"/>
  <c r="D17" i="13" s="1"/>
  <c r="O28" i="2"/>
  <c r="D26" i="13" s="1"/>
  <c r="O16" i="2"/>
  <c r="D14" i="13" s="1"/>
  <c r="O24" i="2"/>
  <c r="D22" i="13" s="1"/>
  <c r="O17" i="2"/>
  <c r="D15" i="13" s="1"/>
  <c r="O25" i="2"/>
  <c r="D23" i="13" s="1"/>
  <c r="O27" i="2"/>
  <c r="D25" i="13" s="1"/>
  <c r="O20" i="2"/>
  <c r="D18" i="13" s="1"/>
  <c r="S9" i="11"/>
  <c r="D34" i="13" s="1"/>
  <c r="AI17" i="11"/>
  <c r="AI25" i="11"/>
  <c r="S13" i="11"/>
  <c r="D38" i="13" s="1"/>
  <c r="S21" i="11"/>
  <c r="D46" i="13" s="1"/>
  <c r="N12" i="2"/>
  <c r="C10" i="13" s="1"/>
  <c r="N19" i="2"/>
  <c r="C17" i="13" s="1"/>
  <c r="N24" i="2"/>
  <c r="C22" i="13" s="1"/>
  <c r="AI19" i="11"/>
  <c r="AI27" i="11"/>
  <c r="S23" i="11"/>
  <c r="D48" i="13" s="1"/>
  <c r="N20" i="2"/>
  <c r="C18" i="13" s="1"/>
  <c r="AI12" i="11"/>
  <c r="S16" i="11"/>
  <c r="D41" i="13" s="1"/>
  <c r="S24" i="11"/>
  <c r="D49" i="13" s="1"/>
  <c r="N27" i="2"/>
  <c r="C25" i="13" s="1"/>
  <c r="AI10" i="11"/>
  <c r="AI18" i="11"/>
  <c r="AI26" i="11"/>
  <c r="S14" i="11"/>
  <c r="D39" i="13" s="1"/>
  <c r="S22" i="11"/>
  <c r="D47" i="13" s="1"/>
  <c r="N13" i="2"/>
  <c r="C11" i="13" s="1"/>
  <c r="N25" i="2"/>
  <c r="C23" i="13" s="1"/>
  <c r="AI11" i="11"/>
  <c r="S15" i="11"/>
  <c r="D40" i="13" s="1"/>
  <c r="N14" i="2"/>
  <c r="C12" i="13" s="1"/>
  <c r="N26" i="2"/>
  <c r="C24" i="13" s="1"/>
  <c r="AI20" i="11"/>
  <c r="AI8" i="11"/>
  <c r="N21" i="2"/>
  <c r="C19" i="13" s="1"/>
  <c r="AI13" i="11"/>
  <c r="AI21" i="11"/>
  <c r="S17" i="11"/>
  <c r="D42" i="13" s="1"/>
  <c r="S25" i="11"/>
  <c r="D50" i="13" s="1"/>
  <c r="N23" i="2"/>
  <c r="C21" i="13" s="1"/>
  <c r="AI24" i="11"/>
  <c r="S20" i="11"/>
  <c r="D45" i="13" s="1"/>
  <c r="N11" i="2"/>
  <c r="C9" i="13" s="1"/>
  <c r="AI14" i="11"/>
  <c r="AI22" i="11"/>
  <c r="S10" i="11"/>
  <c r="D35" i="13" s="1"/>
  <c r="S18" i="11"/>
  <c r="D43" i="13" s="1"/>
  <c r="S26" i="11"/>
  <c r="D51" i="13" s="1"/>
  <c r="N16" i="2"/>
  <c r="C14" i="13" s="1"/>
  <c r="N22" i="2"/>
  <c r="C20" i="13" s="1"/>
  <c r="N28" i="2"/>
  <c r="C26" i="13" s="1"/>
  <c r="N17" i="2"/>
  <c r="C15" i="13" s="1"/>
  <c r="AI16" i="11"/>
  <c r="S12" i="11"/>
  <c r="D37" i="13" s="1"/>
  <c r="S8" i="11"/>
  <c r="D33" i="13" s="1"/>
  <c r="N18" i="2"/>
  <c r="C16" i="13" s="1"/>
  <c r="N15" i="2"/>
  <c r="C13" i="13" s="1"/>
  <c r="AI15" i="11"/>
  <c r="AI23" i="11"/>
  <c r="S11" i="11"/>
  <c r="D36" i="13" s="1"/>
  <c r="S19" i="11"/>
  <c r="D44" i="13" s="1"/>
  <c r="S27" i="11"/>
  <c r="D52" i="13" s="1"/>
  <c r="Y21" i="2"/>
  <c r="Y18" i="2"/>
  <c r="Y14" i="2"/>
  <c r="Y20" i="2"/>
  <c r="Y23" i="2"/>
  <c r="Y19" i="2"/>
  <c r="Y17" i="2"/>
  <c r="Y22" i="2"/>
  <c r="Y28" i="2"/>
  <c r="Y12" i="2"/>
  <c r="Y15" i="2"/>
  <c r="Y11" i="2"/>
  <c r="Y27" i="2"/>
  <c r="Y13" i="2"/>
  <c r="Y25" i="2"/>
  <c r="Y24" i="2"/>
  <c r="Y16" i="2"/>
  <c r="D46" i="3"/>
  <c r="E46" i="3" s="1"/>
  <c r="E58" i="13"/>
  <c r="D51" i="3"/>
  <c r="E51" i="3" s="1"/>
  <c r="E66" i="13"/>
  <c r="D54" i="3"/>
  <c r="E54" i="3" s="1"/>
  <c r="E73" i="13"/>
  <c r="D55" i="3"/>
  <c r="E55" i="3" s="1"/>
  <c r="E74" i="13"/>
  <c r="D44" i="3"/>
  <c r="E44" i="3" s="1"/>
  <c r="E70" i="13"/>
  <c r="D49" i="3"/>
  <c r="E49" i="3" s="1"/>
  <c r="E62" i="13"/>
  <c r="D56" i="3"/>
  <c r="E56" i="3" s="1"/>
  <c r="E75" i="13"/>
  <c r="D43" i="3"/>
  <c r="E43" i="3" s="1"/>
  <c r="E65" i="13"/>
  <c r="D52" i="3"/>
  <c r="E52" i="3" s="1"/>
  <c r="E71" i="13"/>
  <c r="D62" i="3"/>
  <c r="E62" i="3" s="1"/>
  <c r="E68" i="13"/>
  <c r="D45" i="3"/>
  <c r="E45" i="3" s="1"/>
  <c r="E57" i="13"/>
  <c r="D60" i="3"/>
  <c r="E60" i="3" s="1"/>
  <c r="E76" i="13"/>
  <c r="D50" i="3"/>
  <c r="E50" i="3" s="1"/>
  <c r="E64" i="13"/>
  <c r="D53" i="3"/>
  <c r="E53" i="3" s="1"/>
  <c r="E72" i="13"/>
  <c r="G67" i="13"/>
  <c r="AH28" i="11"/>
  <c r="R28" i="11"/>
  <c r="D103" i="3"/>
  <c r="D99" i="3"/>
  <c r="D98" i="3"/>
  <c r="D94" i="3"/>
  <c r="O26" i="2" l="1"/>
  <c r="D24" i="13" s="1"/>
  <c r="J48" i="13"/>
  <c r="J41" i="13"/>
  <c r="J40" i="13"/>
  <c r="J26" i="13"/>
  <c r="J44" i="13"/>
  <c r="J47" i="13"/>
  <c r="J36" i="13"/>
  <c r="J34" i="13"/>
  <c r="J43" i="13"/>
  <c r="J39" i="13"/>
  <c r="J50" i="13"/>
  <c r="J45" i="13"/>
  <c r="J35" i="13"/>
  <c r="J46" i="13"/>
  <c r="J37" i="13"/>
  <c r="J42" i="13"/>
  <c r="J49" i="13"/>
  <c r="J38" i="13"/>
  <c r="J52" i="13"/>
  <c r="J51" i="13"/>
  <c r="G63" i="13"/>
  <c r="G82" i="13" s="1"/>
  <c r="I61" i="13"/>
  <c r="I59" i="13"/>
  <c r="I67" i="13"/>
  <c r="I63" i="13"/>
  <c r="J33" i="13"/>
  <c r="H61" i="13"/>
  <c r="D102" i="3"/>
  <c r="E120" i="3"/>
  <c r="D117" i="3"/>
  <c r="E117" i="3"/>
  <c r="E119" i="3"/>
  <c r="D119" i="3"/>
  <c r="D97" i="3"/>
  <c r="S28" i="11"/>
  <c r="K12" i="4"/>
  <c r="D101" i="3" s="1"/>
  <c r="J61" i="13" l="1"/>
  <c r="I82" i="13"/>
  <c r="D80" i="13"/>
  <c r="E80" i="13" s="1"/>
  <c r="D81" i="13"/>
  <c r="E81" i="13" s="1"/>
  <c r="D78" i="13"/>
  <c r="E78" i="13" s="1"/>
  <c r="D77" i="13"/>
  <c r="D79" i="13"/>
  <c r="E79" i="13" s="1"/>
  <c r="AI28" i="11"/>
  <c r="AA45" i="4"/>
  <c r="AB45" i="4"/>
  <c r="AC45" i="4"/>
  <c r="AD45" i="4"/>
  <c r="F54" i="4"/>
  <c r="F55" i="4"/>
  <c r="F56" i="4"/>
  <c r="F57" i="4"/>
  <c r="F58" i="4"/>
  <c r="X36" i="4"/>
  <c r="W36" i="4"/>
  <c r="V36" i="4"/>
  <c r="U36" i="4"/>
  <c r="E77" i="13" l="1"/>
  <c r="D67" i="3"/>
  <c r="E67" i="3" s="1"/>
  <c r="D66" i="3"/>
  <c r="E66" i="3" s="1"/>
  <c r="D64" i="3"/>
  <c r="E64" i="3" s="1"/>
  <c r="D63" i="3"/>
  <c r="E63" i="3" s="1"/>
  <c r="D65" i="3"/>
  <c r="E65" i="3" s="1"/>
  <c r="AD49" i="4"/>
  <c r="AA49" i="4"/>
  <c r="AB49" i="4"/>
  <c r="AC49" i="4"/>
  <c r="AD50" i="4"/>
  <c r="AA50" i="4"/>
  <c r="AC50" i="4"/>
  <c r="AB50" i="4"/>
  <c r="AD41" i="4"/>
  <c r="AB41" i="4"/>
  <c r="AA41" i="4"/>
  <c r="AC41" i="4"/>
  <c r="H54" i="4"/>
  <c r="E54" i="4" s="1"/>
  <c r="I54" i="4"/>
  <c r="J54" i="4"/>
  <c r="K54" i="4"/>
  <c r="L54" i="4"/>
  <c r="M54" i="4"/>
  <c r="N54" i="4"/>
  <c r="O54" i="4"/>
  <c r="P54" i="4"/>
  <c r="Q54" i="4"/>
  <c r="R54" i="4"/>
  <c r="S54" i="4"/>
  <c r="T54" i="4"/>
  <c r="U54" i="4"/>
  <c r="V54" i="4"/>
  <c r="W54" i="4"/>
  <c r="X54" i="4"/>
  <c r="H55" i="4"/>
  <c r="E55" i="4" s="1"/>
  <c r="I55" i="4"/>
  <c r="J55" i="4"/>
  <c r="K55" i="4"/>
  <c r="L55" i="4"/>
  <c r="M55" i="4"/>
  <c r="N55" i="4"/>
  <c r="O55" i="4"/>
  <c r="P55" i="4"/>
  <c r="Q55" i="4"/>
  <c r="R55" i="4"/>
  <c r="S55" i="4"/>
  <c r="T55" i="4"/>
  <c r="U55" i="4"/>
  <c r="V55" i="4"/>
  <c r="W55" i="4"/>
  <c r="X55" i="4"/>
  <c r="H56" i="4"/>
  <c r="E56" i="4" s="1"/>
  <c r="I56" i="4"/>
  <c r="J56" i="4"/>
  <c r="K56" i="4"/>
  <c r="L56" i="4"/>
  <c r="M56" i="4"/>
  <c r="N56" i="4"/>
  <c r="O56" i="4"/>
  <c r="P56" i="4"/>
  <c r="Q56" i="4"/>
  <c r="R56" i="4"/>
  <c r="S56" i="4"/>
  <c r="T56" i="4"/>
  <c r="U56" i="4"/>
  <c r="V56" i="4"/>
  <c r="W56" i="4"/>
  <c r="X56" i="4"/>
  <c r="H57" i="4"/>
  <c r="E57" i="4" s="1"/>
  <c r="I57" i="4"/>
  <c r="J57" i="4"/>
  <c r="K57" i="4"/>
  <c r="L57" i="4"/>
  <c r="M57" i="4"/>
  <c r="N57" i="4"/>
  <c r="O57" i="4"/>
  <c r="P57" i="4"/>
  <c r="Q57" i="4"/>
  <c r="R57" i="4"/>
  <c r="S57" i="4"/>
  <c r="T57" i="4"/>
  <c r="U57" i="4"/>
  <c r="V57" i="4"/>
  <c r="W57" i="4"/>
  <c r="X57" i="4"/>
  <c r="H58" i="4"/>
  <c r="E58" i="4" s="1"/>
  <c r="I58" i="4"/>
  <c r="J58" i="4"/>
  <c r="K58" i="4"/>
  <c r="L58" i="4"/>
  <c r="M58" i="4"/>
  <c r="N58" i="4"/>
  <c r="O58" i="4"/>
  <c r="P58" i="4"/>
  <c r="Q58" i="4"/>
  <c r="R58" i="4"/>
  <c r="S58" i="4"/>
  <c r="T58" i="4"/>
  <c r="U58" i="4"/>
  <c r="V58" i="4"/>
  <c r="W58" i="4"/>
  <c r="X58" i="4"/>
  <c r="G55" i="4"/>
  <c r="W62" i="4" s="1"/>
  <c r="G56" i="4"/>
  <c r="X62" i="4" s="1"/>
  <c r="G57" i="4"/>
  <c r="Y62" i="4" s="1"/>
  <c r="G58" i="4"/>
  <c r="Z62" i="4" s="1"/>
  <c r="G54" i="4"/>
  <c r="V62" i="4" s="1"/>
  <c r="C58" i="4" l="1"/>
  <c r="C55" i="4"/>
  <c r="C56" i="4"/>
  <c r="C57" i="4"/>
  <c r="C54" i="4"/>
  <c r="C9" i="2" s="1"/>
  <c r="C13" i="2" l="1"/>
  <c r="C81" i="13"/>
  <c r="C79" i="13"/>
  <c r="C77" i="13"/>
  <c r="C80" i="13"/>
  <c r="C78" i="13"/>
  <c r="D23" i="11"/>
  <c r="C18" i="11"/>
  <c r="D14" i="11"/>
  <c r="C9" i="11"/>
  <c r="D20" i="11"/>
  <c r="C15" i="11"/>
  <c r="D24" i="11"/>
  <c r="C23" i="11"/>
  <c r="D19" i="11"/>
  <c r="C14" i="11"/>
  <c r="D10" i="11"/>
  <c r="D25" i="11"/>
  <c r="D11" i="11"/>
  <c r="C24" i="11"/>
  <c r="C19" i="11"/>
  <c r="D15" i="11"/>
  <c r="C10" i="11"/>
  <c r="C27" i="11"/>
  <c r="D18" i="11"/>
  <c r="C13" i="11"/>
  <c r="C8" i="11"/>
  <c r="D26" i="11"/>
  <c r="C25" i="11"/>
  <c r="D21" i="11"/>
  <c r="C20" i="11"/>
  <c r="D16" i="11"/>
  <c r="C11" i="11"/>
  <c r="D22" i="11"/>
  <c r="C17" i="11"/>
  <c r="D13" i="11"/>
  <c r="C12" i="11"/>
  <c r="C22" i="11"/>
  <c r="D9" i="11"/>
  <c r="C26" i="11"/>
  <c r="C21" i="11"/>
  <c r="D17" i="11"/>
  <c r="C16" i="11"/>
  <c r="D12" i="11"/>
  <c r="D27" i="11"/>
  <c r="D8" i="11"/>
  <c r="D23" i="2"/>
  <c r="D28" i="2"/>
  <c r="C28" i="2"/>
  <c r="D9" i="2"/>
  <c r="C23" i="2"/>
  <c r="D27" i="2"/>
  <c r="D26" i="2"/>
  <c r="D25" i="2"/>
  <c r="C21" i="2"/>
  <c r="C16" i="2"/>
  <c r="C17" i="2"/>
  <c r="C25" i="2"/>
  <c r="C10" i="2"/>
  <c r="C18" i="2"/>
  <c r="C19" i="2"/>
  <c r="C12" i="2"/>
  <c r="C14" i="2"/>
  <c r="C22" i="2"/>
  <c r="C24" i="2"/>
  <c r="C26" i="2"/>
  <c r="C27" i="2"/>
  <c r="C11" i="2"/>
  <c r="C15" i="2"/>
  <c r="C20" i="2"/>
  <c r="D13" i="2"/>
  <c r="D10" i="2"/>
  <c r="D11" i="2"/>
  <c r="D12" i="2"/>
  <c r="D14" i="2"/>
  <c r="D15" i="2"/>
  <c r="D16" i="2"/>
  <c r="D24" i="2"/>
  <c r="D17" i="2"/>
  <c r="D18" i="2"/>
  <c r="D20" i="2"/>
  <c r="D19" i="2"/>
  <c r="D21" i="2"/>
  <c r="D22" i="2"/>
  <c r="T29" i="2"/>
  <c r="D137" i="3" l="1"/>
  <c r="D145" i="3"/>
  <c r="D143" i="3"/>
  <c r="E137" i="3"/>
  <c r="E143" i="3"/>
  <c r="E142" i="3"/>
  <c r="D144" i="3"/>
  <c r="E145" i="3"/>
  <c r="E144" i="3"/>
  <c r="D35" i="3"/>
  <c r="D142" i="3"/>
  <c r="AA46" i="4"/>
  <c r="AC46" i="4"/>
  <c r="AB46" i="4"/>
  <c r="AD46" i="4"/>
  <c r="AD53" i="4"/>
  <c r="AA53" i="4"/>
  <c r="AB53" i="4"/>
  <c r="AC53" i="4"/>
  <c r="AA47" i="4"/>
  <c r="AD47" i="4"/>
  <c r="AB47" i="4"/>
  <c r="AC47" i="4"/>
  <c r="AB44" i="4"/>
  <c r="AA44" i="4"/>
  <c r="AC44" i="4"/>
  <c r="AD44" i="4"/>
  <c r="AA51" i="4"/>
  <c r="AB51" i="4"/>
  <c r="AC51" i="4"/>
  <c r="AD51" i="4"/>
  <c r="AB42" i="4"/>
  <c r="AC42" i="4"/>
  <c r="AD42" i="4"/>
  <c r="AA42" i="4"/>
  <c r="AC48" i="4"/>
  <c r="AA48" i="4"/>
  <c r="AB48" i="4"/>
  <c r="AD48" i="4"/>
  <c r="AA36" i="4"/>
  <c r="AB36" i="4"/>
  <c r="AC36" i="4"/>
  <c r="AD36" i="4"/>
  <c r="AA40" i="4"/>
  <c r="AB40" i="4"/>
  <c r="AC40" i="4"/>
  <c r="AD40" i="4"/>
  <c r="AD35" i="4"/>
  <c r="AA35" i="4"/>
  <c r="AC35" i="4"/>
  <c r="AB35" i="4"/>
  <c r="AA52" i="4"/>
  <c r="AB52" i="4"/>
  <c r="AC52" i="4"/>
  <c r="AD52" i="4"/>
  <c r="AD43" i="4"/>
  <c r="AB43" i="4"/>
  <c r="AA43" i="4"/>
  <c r="AC43" i="4"/>
  <c r="AD37" i="4"/>
  <c r="AB37" i="4"/>
  <c r="AA37" i="4"/>
  <c r="AC37" i="4"/>
  <c r="AA39" i="4"/>
  <c r="AB39" i="4"/>
  <c r="AC39" i="4"/>
  <c r="AD39" i="4"/>
  <c r="AB58" i="4"/>
  <c r="AD57" i="4"/>
  <c r="AC54" i="4"/>
  <c r="AD54" i="4"/>
  <c r="AA56" i="4"/>
  <c r="AC56" i="4"/>
  <c r="AB57" i="4"/>
  <c r="AD55" i="4"/>
  <c r="AC58" i="4"/>
  <c r="AB55" i="4"/>
  <c r="AA54" i="4"/>
  <c r="AD56" i="4"/>
  <c r="AB56" i="4"/>
  <c r="AA57" i="4"/>
  <c r="AC57" i="4"/>
  <c r="AA58" i="4"/>
  <c r="AD58" i="4"/>
  <c r="AB54" i="4"/>
  <c r="AA55" i="4"/>
  <c r="AC55" i="4"/>
  <c r="AD38" i="4"/>
  <c r="AA38" i="4"/>
  <c r="AB38" i="4"/>
  <c r="AC38" i="4"/>
  <c r="AA34" i="4"/>
  <c r="AD34" i="4"/>
  <c r="AC34" i="4"/>
  <c r="AB34" i="4"/>
  <c r="W29" i="2"/>
  <c r="J10" i="2"/>
  <c r="J11" i="2"/>
  <c r="C22" i="4"/>
  <c r="C12" i="4"/>
  <c r="C8" i="4"/>
  <c r="C7" i="4"/>
  <c r="C6" i="4"/>
  <c r="C5" i="4"/>
  <c r="E141" i="3" l="1"/>
  <c r="D141" i="3"/>
  <c r="E147" i="3"/>
  <c r="E35" i="3"/>
  <c r="D147" i="3"/>
  <c r="J9" i="2"/>
  <c r="J29" i="2" l="1"/>
  <c r="V44" i="4" l="1"/>
  <c r="W44" i="4"/>
  <c r="X44" i="4"/>
  <c r="U44" i="4"/>
  <c r="W49" i="4"/>
  <c r="V49" i="4"/>
  <c r="U49" i="4"/>
  <c r="X49" i="4"/>
  <c r="K9" i="2" l="1"/>
  <c r="L9" i="2" s="1"/>
  <c r="M9" i="2" l="1"/>
  <c r="O9" i="2" s="1"/>
  <c r="N9" i="2"/>
  <c r="Q9" i="2"/>
  <c r="X9" i="2" l="1"/>
  <c r="Y9" i="2" s="1"/>
  <c r="F7" i="13"/>
  <c r="C7" i="13"/>
  <c r="D7" i="13"/>
  <c r="D59" i="13" s="1"/>
  <c r="D67" i="13"/>
  <c r="E67" i="13" s="1"/>
  <c r="F67" i="13"/>
  <c r="H7" i="13" l="1"/>
  <c r="H59" i="13" s="1"/>
  <c r="E138" i="3" s="1"/>
  <c r="E148" i="3" s="1"/>
  <c r="F59" i="13"/>
  <c r="D138" i="3" s="1"/>
  <c r="D148" i="3" s="1"/>
  <c r="E59" i="13"/>
  <c r="D47" i="3"/>
  <c r="E47" i="3" s="1"/>
  <c r="D61" i="13"/>
  <c r="E61" i="13" s="1"/>
  <c r="D61" i="3"/>
  <c r="E61" i="3" s="1"/>
  <c r="D38" i="3"/>
  <c r="E38" i="3" s="1"/>
  <c r="D140" i="3"/>
  <c r="D150" i="3" s="1"/>
  <c r="H67" i="13"/>
  <c r="J7" i="13" l="1"/>
  <c r="J59" i="13" s="1"/>
  <c r="D118" i="3"/>
  <c r="E118" i="3"/>
  <c r="D48" i="3"/>
  <c r="E48" i="3" s="1"/>
  <c r="D36" i="3"/>
  <c r="E36" i="3" s="1"/>
  <c r="E116" i="3"/>
  <c r="D116" i="3"/>
  <c r="J67" i="13"/>
  <c r="E140" i="3"/>
  <c r="E150" i="3" s="1"/>
  <c r="J18" i="13"/>
  <c r="J19" i="13"/>
  <c r="J16" i="13"/>
  <c r="J17" i="13"/>
  <c r="J15" i="13"/>
  <c r="J12" i="13"/>
  <c r="J20" i="13"/>
  <c r="J22" i="13"/>
  <c r="J11" i="13"/>
  <c r="J23" i="13"/>
  <c r="J21" i="13"/>
  <c r="J14" i="13"/>
  <c r="J25" i="13"/>
  <c r="J13" i="13"/>
  <c r="H24" i="13" l="1"/>
  <c r="J24" i="13" s="1"/>
  <c r="Y26" i="2"/>
  <c r="D69" i="13"/>
  <c r="D59" i="3" l="1"/>
  <c r="E59" i="3" s="1"/>
  <c r="E69" i="13"/>
  <c r="E121" i="3" s="1"/>
  <c r="D100" i="3"/>
  <c r="D96" i="3" l="1"/>
  <c r="K11" i="2"/>
  <c r="Q11" i="2" s="1"/>
  <c r="K10" i="2"/>
  <c r="L10" i="2" l="1"/>
  <c r="N10" i="2" s="1"/>
  <c r="C8" i="13" s="1"/>
  <c r="Q10" i="2"/>
  <c r="M10" i="2"/>
  <c r="O10" i="2" s="1"/>
  <c r="D104" i="3"/>
  <c r="J9" i="13"/>
  <c r="J10" i="13"/>
  <c r="K29" i="2"/>
  <c r="O29" i="2" l="1"/>
  <c r="D8" i="13"/>
  <c r="D60" i="13" s="1"/>
  <c r="F8" i="13"/>
  <c r="F60" i="13" s="1"/>
  <c r="X10" i="2"/>
  <c r="Y10" i="2" s="1"/>
  <c r="F63" i="13"/>
  <c r="D63" i="13"/>
  <c r="L29" i="2"/>
  <c r="Q29" i="2"/>
  <c r="D95" i="3"/>
  <c r="H8" i="13" l="1"/>
  <c r="E60" i="13"/>
  <c r="D57" i="3"/>
  <c r="E57" i="3" s="1"/>
  <c r="J63" i="13"/>
  <c r="H63" i="13"/>
  <c r="D139" i="3"/>
  <c r="D149" i="3" s="1"/>
  <c r="D146" i="3" s="1"/>
  <c r="F82" i="13"/>
  <c r="E63" i="13"/>
  <c r="D58" i="3"/>
  <c r="E58" i="3" s="1"/>
  <c r="D82" i="13"/>
  <c r="D37" i="3"/>
  <c r="D93" i="3"/>
  <c r="Y29" i="2"/>
  <c r="X29" i="2"/>
  <c r="M29" i="2"/>
  <c r="N29" i="2"/>
  <c r="B30" i="2" a="1"/>
  <c r="B30" i="2" s="1"/>
  <c r="J8" i="13" l="1"/>
  <c r="J60" i="13" s="1"/>
  <c r="J82" i="13" s="1"/>
  <c r="H60" i="13"/>
  <c r="H82" i="13" s="1"/>
  <c r="D136" i="3"/>
  <c r="D115" i="3"/>
  <c r="D122" i="3" s="1"/>
  <c r="D123" i="3" s="1"/>
  <c r="E115" i="3"/>
  <c r="E122" i="3" s="1"/>
  <c r="E123" i="3" s="1"/>
  <c r="E37" i="3"/>
  <c r="E39" i="3" s="1"/>
  <c r="D39" i="3"/>
  <c r="E139" i="3" l="1"/>
  <c r="E149" i="3" s="1"/>
  <c r="E146" i="3" s="1"/>
  <c r="D105" i="3"/>
  <c r="O18" i="4" s="1"/>
  <c r="P18" i="4" s="1"/>
  <c r="F106" i="3" s="1"/>
  <c r="E136" i="3" l="1"/>
  <c r="O19" i="4"/>
  <c r="P19" i="4" s="1"/>
  <c r="F102" i="3" s="1"/>
  <c r="F35" i="3" l="1"/>
  <c r="F38" i="3"/>
  <c r="F37" i="3"/>
  <c r="F36" i="3"/>
  <c r="F39"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Kristian Le Gallou</author>
  </authors>
  <commentList>
    <comment ref="G6" authorId="0" shapeId="0" xr:uid="{A3E817FF-459E-4BDA-80C2-814A078454FD}">
      <text>
        <r>
          <rPr>
            <sz val="9"/>
            <color indexed="81"/>
            <rFont val="Tahoma"/>
            <family val="2"/>
          </rPr>
          <t xml:space="preserve">Only count the bins collected from a central point for recycling/disposal. 
Do not count individual bins under desks or in kitchens etc.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tc={261B0AB2-7D76-49B5-8470-BDCFB03698E0}</author>
    <author>tc={141814D2-62EF-447E-8CE9-78ADBAF0BF61}</author>
  </authors>
  <commentList>
    <comment ref="M4" authorId="0" shapeId="0" xr:uid="{261B0AB2-7D76-49B5-8470-BDCFB03698E0}">
      <text>
        <t>[Threaded comment]
Your version of Excel allows you to read this threaded comment; however, any edits to it will get removed if the file is opened in a newer version of Excel. Learn more: https://go.microsoft.com/fwlink/?linkid=870924
Comment:
    Based on RAS factors and % splits</t>
      </text>
    </comment>
    <comment ref="M7" authorId="1" shapeId="0" xr:uid="{141814D2-62EF-447E-8CE9-78ADBAF0BF61}">
      <text>
        <t>[Threaded comment]
Your version of Excel allows you to read this threaded comment; however, any edits to it will get removed if the file is opened in a newer version of Excel. Learn more: https://go.microsoft.com/fwlink/?linkid=870924
Comment:
    Based on RAS factors and % splits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<sst xmlns="http://schemas.openxmlformats.org/spreadsheetml/2006/main" count="954" uniqueCount="322">
  <si>
    <t>Waste stream</t>
  </si>
  <si>
    <t>Reuse</t>
  </si>
  <si>
    <t>Method</t>
  </si>
  <si>
    <t>Bin size</t>
  </si>
  <si>
    <t>120 litre</t>
  </si>
  <si>
    <t>140 litre</t>
  </si>
  <si>
    <t>240 litre</t>
  </si>
  <si>
    <t>360 litre</t>
  </si>
  <si>
    <t>litres</t>
  </si>
  <si>
    <t>Collection frequency</t>
  </si>
  <si>
    <t>Total</t>
  </si>
  <si>
    <t>Treat/Dispose</t>
  </si>
  <si>
    <t>Recycle</t>
  </si>
  <si>
    <t>Introduction</t>
  </si>
  <si>
    <t>Waste Generation</t>
  </si>
  <si>
    <t>Important Notes</t>
  </si>
  <si>
    <t>Waste service</t>
  </si>
  <si>
    <t>Waste densities by service and for different bin sizes (kg/ m3)</t>
  </si>
  <si>
    <t>660 litre</t>
  </si>
  <si>
    <t>1100 litre</t>
  </si>
  <si>
    <t>Trailer 6x4</t>
  </si>
  <si>
    <t>80 litre</t>
  </si>
  <si>
    <t>3 times per week</t>
  </si>
  <si>
    <t>5 times per week</t>
  </si>
  <si>
    <t>4 times per week</t>
  </si>
  <si>
    <t>2 times per week</t>
  </si>
  <si>
    <t>Once a year</t>
  </si>
  <si>
    <t>Twice a year</t>
  </si>
  <si>
    <t>Once every 3 months</t>
  </si>
  <si>
    <t>Every day</t>
  </si>
  <si>
    <t>Once a fortnight</t>
  </si>
  <si>
    <t>Once a month</t>
  </si>
  <si>
    <t>Once per week</t>
  </si>
  <si>
    <t>Collections per year</t>
  </si>
  <si>
    <t>Once every 6 weeks</t>
  </si>
  <si>
    <t>20 litre</t>
  </si>
  <si>
    <t>Period</t>
  </si>
  <si>
    <t>per day</t>
  </si>
  <si>
    <t>per week</t>
  </si>
  <si>
    <t>per year</t>
  </si>
  <si>
    <t>per month</t>
  </si>
  <si>
    <t>per fortnight</t>
  </si>
  <si>
    <t>per quarter</t>
  </si>
  <si>
    <t>Waste service type</t>
  </si>
  <si>
    <t>Bin collection frequency</t>
  </si>
  <si>
    <t>Other costs</t>
  </si>
  <si>
    <t xml:space="preserve">Total costs </t>
  </si>
  <si>
    <t>Total rebates</t>
  </si>
  <si>
    <t>Net costs including rebates</t>
  </si>
  <si>
    <t>Automatic calculation</t>
  </si>
  <si>
    <t>Rebates (if applicable)</t>
  </si>
  <si>
    <t>Not applicable</t>
  </si>
  <si>
    <t>Where to get more help</t>
  </si>
  <si>
    <t>Data accuracy</t>
  </si>
  <si>
    <t>Recover for energy</t>
  </si>
  <si>
    <t>Example</t>
  </si>
  <si>
    <t>Collection vehicle</t>
  </si>
  <si>
    <t>Height</t>
  </si>
  <si>
    <t>Approximate dimensions (m)</t>
  </si>
  <si>
    <t>Width</t>
  </si>
  <si>
    <t>Depth</t>
  </si>
  <si>
    <t>120L-140L</t>
  </si>
  <si>
    <t>1.08 </t>
  </si>
  <si>
    <t>0.58 </t>
  </si>
  <si>
    <t>0.74 </t>
  </si>
  <si>
    <t xml:space="preserve">240L </t>
  </si>
  <si>
    <t>Rear-lift </t>
  </si>
  <si>
    <t>1.22 </t>
  </si>
  <si>
    <t>1.34 </t>
  </si>
  <si>
    <t>0.5-0.8 </t>
  </si>
  <si>
    <t>1.48 </t>
  </si>
  <si>
    <t>1.36 </t>
  </si>
  <si>
    <t>1-1.2 </t>
  </si>
  <si>
    <t>1.2-1.3 </t>
  </si>
  <si>
    <t>2-2.4 </t>
  </si>
  <si>
    <t>1-1.3 </t>
  </si>
  <si>
    <t>1.3-15 </t>
  </si>
  <si>
    <t>1.4-2.3 </t>
  </si>
  <si>
    <t>1.8 </t>
  </si>
  <si>
    <t>2 </t>
  </si>
  <si>
    <t>1.4-1.8 </t>
  </si>
  <si>
    <t>1100L</t>
  </si>
  <si>
    <t>80L</t>
  </si>
  <si>
    <t>Hook-lift</t>
  </si>
  <si>
    <t>Car/Ute</t>
  </si>
  <si>
    <r>
      <t>Bin Size
(L or m</t>
    </r>
    <r>
      <rPr>
        <b/>
        <vertAlign val="superscript"/>
        <sz val="14"/>
        <color theme="0"/>
        <rFont val="Microsoft PhagsPa"/>
        <family val="2"/>
      </rPr>
      <t>3</t>
    </r>
    <r>
      <rPr>
        <b/>
        <sz val="14"/>
        <color theme="0"/>
        <rFont val="Microsoft PhagsPa"/>
        <family val="2"/>
      </rPr>
      <t>)</t>
    </r>
  </si>
  <si>
    <t>Front-lift</t>
  </si>
  <si>
    <t>Side-lift or rear-lift</t>
  </si>
  <si>
    <r>
      <t>660L</t>
    </r>
    <r>
      <rPr>
        <b/>
        <sz val="11"/>
        <color rgb="FF000000"/>
        <rFont val="Microsoft PhagsPa"/>
        <family val="2"/>
      </rPr>
      <t> </t>
    </r>
  </si>
  <si>
    <r>
      <t>1.5m</t>
    </r>
    <r>
      <rPr>
        <vertAlign val="superscript"/>
        <sz val="11"/>
        <color rgb="FF000000"/>
        <rFont val="Microsoft PhagsPa"/>
        <family val="2"/>
      </rPr>
      <t>3</t>
    </r>
    <r>
      <rPr>
        <b/>
        <sz val="11"/>
        <color rgb="FF000000"/>
        <rFont val="Microsoft PhagsPa"/>
        <family val="2"/>
      </rPr>
      <t> </t>
    </r>
  </si>
  <si>
    <r>
      <t>3m</t>
    </r>
    <r>
      <rPr>
        <vertAlign val="superscript"/>
        <sz val="11"/>
        <color rgb="FF000000"/>
        <rFont val="Microsoft PhagsPa"/>
        <family val="2"/>
      </rPr>
      <t>3</t>
    </r>
    <r>
      <rPr>
        <b/>
        <sz val="11"/>
        <color rgb="FF000000"/>
        <rFont val="Microsoft PhagsPa"/>
        <family val="2"/>
      </rPr>
      <t> </t>
    </r>
  </si>
  <si>
    <r>
      <t>4.5m</t>
    </r>
    <r>
      <rPr>
        <vertAlign val="superscript"/>
        <sz val="11"/>
        <color rgb="FF000000"/>
        <rFont val="Microsoft PhagsPa"/>
        <family val="2"/>
      </rPr>
      <t>3</t>
    </r>
    <r>
      <rPr>
        <b/>
        <sz val="11"/>
        <color rgb="FF000000"/>
        <rFont val="Microsoft PhagsPa"/>
        <family val="2"/>
      </rPr>
      <t> </t>
    </r>
  </si>
  <si>
    <r>
      <t>Compactor 8.0 m</t>
    </r>
    <r>
      <rPr>
        <vertAlign val="superscript"/>
        <sz val="11"/>
        <color rgb="FF000000"/>
        <rFont val="Microsoft PhagsPa"/>
        <family val="2"/>
      </rPr>
      <t>3</t>
    </r>
  </si>
  <si>
    <r>
      <t>Compactor 10 m</t>
    </r>
    <r>
      <rPr>
        <vertAlign val="superscript"/>
        <sz val="11"/>
        <color rgb="FF000000"/>
        <rFont val="Microsoft PhagsPa"/>
        <family val="2"/>
      </rPr>
      <t>3</t>
    </r>
  </si>
  <si>
    <r>
      <t>Compactor 20 m</t>
    </r>
    <r>
      <rPr>
        <vertAlign val="superscript"/>
        <sz val="11"/>
        <color rgb="FF000000"/>
        <rFont val="Microsoft PhagsPa"/>
        <family val="2"/>
      </rPr>
      <t>3</t>
    </r>
  </si>
  <si>
    <r>
      <t>Compactor 30 m</t>
    </r>
    <r>
      <rPr>
        <vertAlign val="superscript"/>
        <sz val="11"/>
        <color rgb="FF000000"/>
        <rFont val="Microsoft PhagsPa"/>
        <family val="2"/>
      </rPr>
      <t>3</t>
    </r>
  </si>
  <si>
    <t>Comingled recycling (incl. glass, plastic, metals)</t>
  </si>
  <si>
    <t>Custom waste/recycling streams</t>
  </si>
  <si>
    <t>Date completed:</t>
  </si>
  <si>
    <t>Organisation name:</t>
  </si>
  <si>
    <t>Select from drop down menu</t>
  </si>
  <si>
    <t>Total number of bin lifts/year</t>
  </si>
  <si>
    <t>Site name/location:</t>
  </si>
  <si>
    <r>
      <rPr>
        <b/>
        <sz val="12"/>
        <rFont val="Microsoft PhagsPa"/>
        <family val="2"/>
      </rPr>
      <t>Adding custom waste or recycling information (optional)</t>
    </r>
    <r>
      <rPr>
        <sz val="10"/>
        <rFont val="Microsoft PhagsPa"/>
        <family val="2"/>
      </rPr>
      <t xml:space="preserve">
Complete the table below if the waste service is not included in the drop down box above. Waste/recycling density is the mass per unit volume (kg/m</t>
    </r>
    <r>
      <rPr>
        <vertAlign val="superscript"/>
        <sz val="10"/>
        <rFont val="Microsoft PhagsPa"/>
        <family val="2"/>
      </rPr>
      <t>3</t>
    </r>
    <r>
      <rPr>
        <sz val="10"/>
        <rFont val="Microsoft PhagsPa"/>
        <family val="2"/>
      </rPr>
      <t>) for a material inside a bin or container. Only add a custom waste or recycling stream to the calculator if the density of the material is known (e.g. via a published source or from your contractor).</t>
    </r>
  </si>
  <si>
    <t>Proportion of the building occupied by organisation:</t>
  </si>
  <si>
    <r>
      <t>Bin size</t>
    </r>
    <r>
      <rPr>
        <sz val="8"/>
        <color theme="0"/>
        <rFont val="Microsoft PhagsPa"/>
        <family val="2"/>
      </rPr>
      <t xml:space="preserve"> </t>
    </r>
  </si>
  <si>
    <t>Number of lifts per bin/year</t>
  </si>
  <si>
    <t>Cost per bin lift</t>
  </si>
  <si>
    <t>Frequency of other costs</t>
  </si>
  <si>
    <t>Income from rebates</t>
  </si>
  <si>
    <t>Frequency of rebates</t>
  </si>
  <si>
    <t>Total lift costs/year</t>
  </si>
  <si>
    <t>Total other costs/year</t>
  </si>
  <si>
    <t>Organisation's proportion net costs/year</t>
  </si>
  <si>
    <t>Waste and Recycling Costs</t>
  </si>
  <si>
    <r>
      <t>Whole building m</t>
    </r>
    <r>
      <rPr>
        <b/>
        <vertAlign val="superscript"/>
        <sz val="11"/>
        <color theme="0"/>
        <rFont val="Microsoft PhagsPa"/>
        <family val="2"/>
      </rPr>
      <t>3</t>
    </r>
    <r>
      <rPr>
        <b/>
        <sz val="11"/>
        <color theme="0"/>
        <rFont val="Microsoft PhagsPa"/>
        <family val="2"/>
      </rPr>
      <t xml:space="preserve">/year </t>
    </r>
  </si>
  <si>
    <t>Whole building tonnes/year</t>
  </si>
  <si>
    <r>
      <t>Organisation's proportion of m</t>
    </r>
    <r>
      <rPr>
        <b/>
        <vertAlign val="superscript"/>
        <sz val="11"/>
        <color theme="0"/>
        <rFont val="Microsoft PhagsPa"/>
        <family val="2"/>
      </rPr>
      <t>3</t>
    </r>
    <r>
      <rPr>
        <b/>
        <sz val="11"/>
        <color theme="0"/>
        <rFont val="Microsoft PhagsPa"/>
        <family val="2"/>
      </rPr>
      <t xml:space="preserve">/year </t>
    </r>
  </si>
  <si>
    <t>Organisation's proportion tonnes/year</t>
  </si>
  <si>
    <t>Whole building net costs/year</t>
  </si>
  <si>
    <t>Organics recycling</t>
  </si>
  <si>
    <t>Printer/toner cartridge recycling</t>
  </si>
  <si>
    <t>Battery recycling</t>
  </si>
  <si>
    <t>Minimum standards</t>
  </si>
  <si>
    <t>Fluorescent light recycling</t>
  </si>
  <si>
    <t>Hide row</t>
  </si>
  <si>
    <t>Waste and recycling system standards</t>
  </si>
  <si>
    <t>General waste to landfill</t>
  </si>
  <si>
    <t>Destination of waste</t>
  </si>
  <si>
    <t>Lists</t>
  </si>
  <si>
    <t>Dry waste/dry materials for energy recovery</t>
  </si>
  <si>
    <t>Destination</t>
  </si>
  <si>
    <t>Hard waste - Reuse</t>
  </si>
  <si>
    <t>Hard waste - Recover for energy</t>
  </si>
  <si>
    <t>10c bottles and cans</t>
  </si>
  <si>
    <t>Batteries</t>
  </si>
  <si>
    <t>Fluorescent lights</t>
  </si>
  <si>
    <t xml:space="preserve">Soft plastics </t>
  </si>
  <si>
    <t>Printer cartridges</t>
  </si>
  <si>
    <t>E-waste - Recycling</t>
  </si>
  <si>
    <t>E-waste - Reuse</t>
  </si>
  <si>
    <t>Hard waste - Disposal</t>
  </si>
  <si>
    <t>Automatically applied</t>
  </si>
  <si>
    <t>Soft plastics recycling or energy recovery</t>
  </si>
  <si>
    <t>Soft plastics - Recycle</t>
  </si>
  <si>
    <t>Soft plastics - Recovery for energy</t>
  </si>
  <si>
    <t>Waste generation and destination</t>
  </si>
  <si>
    <t>Dependent Drop down</t>
  </si>
  <si>
    <t>Trailer 6x5</t>
  </si>
  <si>
    <t>Trailer 6x6</t>
  </si>
  <si>
    <t>Trailer 6x7</t>
  </si>
  <si>
    <t>Trailer 6x8</t>
  </si>
  <si>
    <t>Dependent drop down</t>
  </si>
  <si>
    <t>Comingled materials for energy recovery (incl. glass, plastic, metals)</t>
  </si>
  <si>
    <t>Bottles</t>
  </si>
  <si>
    <t>ComRecover</t>
  </si>
  <si>
    <t>ComRecycle</t>
  </si>
  <si>
    <t>Dry</t>
  </si>
  <si>
    <t>EwasteRecycle</t>
  </si>
  <si>
    <t>EwasteRecover</t>
  </si>
  <si>
    <t>Lights</t>
  </si>
  <si>
    <t>Ladfill</t>
  </si>
  <si>
    <t>HardDispose</t>
  </si>
  <si>
    <t>HardRecover</t>
  </si>
  <si>
    <t>HardReuse</t>
  </si>
  <si>
    <t>FOGO</t>
  </si>
  <si>
    <t>PaperCard</t>
  </si>
  <si>
    <t>Paper</t>
  </si>
  <si>
    <t>Cartridge</t>
  </si>
  <si>
    <t>SoftRecycle</t>
  </si>
  <si>
    <t>SoftRecover</t>
  </si>
  <si>
    <t>Custom1</t>
  </si>
  <si>
    <t>Custom2</t>
  </si>
  <si>
    <t>Custom3</t>
  </si>
  <si>
    <t>Custom4</t>
  </si>
  <si>
    <t>Custom5</t>
  </si>
  <si>
    <r>
      <t>Density of custom waste/recycling stream (kg/m</t>
    </r>
    <r>
      <rPr>
        <b/>
        <vertAlign val="superscript"/>
        <sz val="11"/>
        <color theme="0"/>
        <rFont val="Microsoft PhagsPa"/>
        <family val="2"/>
      </rPr>
      <t>3</t>
    </r>
    <r>
      <rPr>
        <b/>
        <sz val="11"/>
        <color theme="0"/>
        <rFont val="Microsoft PhagsPa"/>
        <family val="2"/>
      </rPr>
      <t>)</t>
    </r>
  </si>
  <si>
    <t>Automatic calculation. Overwrite if required</t>
  </si>
  <si>
    <t>Service in place?</t>
  </si>
  <si>
    <t>E-waste reuse/recycling</t>
  </si>
  <si>
    <t>landfill  diversion</t>
  </si>
  <si>
    <t>-</t>
  </si>
  <si>
    <t>Waste management costs</t>
  </si>
  <si>
    <t>Waste management hierarchy and the circular economy</t>
  </si>
  <si>
    <t>Improving waste and recycling management practices benefits our environment, economy, and community by: 
  • Reducing the amount of material going to landfill and associated greenhouse gas emissions.
  • Limiting the use of virgin materials by capturing discarded materials for reuse and recycling.
  • Minimising the costs of managing waste.
  • Helping to grow the local circular economy, creating jobs and investment in SA.</t>
  </si>
  <si>
    <t>Figure 1: The Waste Management Hierarchy</t>
  </si>
  <si>
    <t>Figure 2: The Circular Economy</t>
  </si>
  <si>
    <t>Using the calculator</t>
  </si>
  <si>
    <t>Collection
period</t>
  </si>
  <si>
    <t>Enter custom waste/recycling stream</t>
  </si>
  <si>
    <t>Number of FTEs within organisation:</t>
  </si>
  <si>
    <t>Proportion of total waste (% weight)</t>
  </si>
  <si>
    <t>tonnes per year</t>
  </si>
  <si>
    <t>tonnes per FTE</t>
  </si>
  <si>
    <t>General waste to landfill and/or energy recovery</t>
  </si>
  <si>
    <r>
      <t xml:space="preserve">Total number of </t>
    </r>
    <r>
      <rPr>
        <b/>
        <u/>
        <sz val="11"/>
        <color theme="0"/>
        <rFont val="Microsoft PhagsPa"/>
        <family val="2"/>
      </rPr>
      <t>occupied</t>
    </r>
    <r>
      <rPr>
        <b/>
        <sz val="11"/>
        <color theme="0"/>
        <rFont val="Microsoft PhagsPa"/>
        <family val="2"/>
      </rPr>
      <t xml:space="preserve"> levels in building:</t>
    </r>
  </si>
  <si>
    <r>
      <t xml:space="preserve">Number of levels </t>
    </r>
    <r>
      <rPr>
        <b/>
        <u/>
        <sz val="11"/>
        <color theme="0"/>
        <rFont val="Microsoft PhagsPa"/>
        <family val="2"/>
      </rPr>
      <t>occupied</t>
    </r>
    <r>
      <rPr>
        <b/>
        <sz val="11"/>
        <color theme="0"/>
        <rFont val="Microsoft PhagsPa"/>
        <family val="2"/>
      </rPr>
      <t xml:space="preserve"> by your organisation:</t>
    </r>
  </si>
  <si>
    <t>Notes and assumptions to determine occupancy</t>
  </si>
  <si>
    <t>5 litre</t>
  </si>
  <si>
    <t>Generation per FTE (tonnes)</t>
  </si>
  <si>
    <t>Organisation's waste and recycling generation (tonnes)</t>
  </si>
  <si>
    <t>Organics - Food and other compostables</t>
  </si>
  <si>
    <t>Card</t>
  </si>
  <si>
    <t>`</t>
  </si>
  <si>
    <t>Confidential paper recycling</t>
  </si>
  <si>
    <t>ConPap</t>
  </si>
  <si>
    <t>Cardboard</t>
  </si>
  <si>
    <t>Paper and cardboard combined</t>
  </si>
  <si>
    <t>Only include levels occupied in the building</t>
  </si>
  <si>
    <t>Comingled recycling or 10c bottles and cans</t>
  </si>
  <si>
    <t>Better practice</t>
  </si>
  <si>
    <t>Total rebates year</t>
  </si>
  <si>
    <t>Organisation's Proportion
($ year)</t>
  </si>
  <si>
    <t>Whole building
($ Year)</t>
  </si>
  <si>
    <t xml:space="preserve">The accuracy of the results depend on the quality of the information input into the calculator. Where possible, gather data from your waste services provider. The building/maintenance manager may need to provide this. 
Waste generation tonnes are based on average material density factors common in the waste and recycling industry. These may differ from your business's actual generation rate if you receive information on the tonnes of material you generate. Your collection contractor may also provide conversion factors in the invoice and they can be entered using the custom waste and recycling stream section. </t>
  </si>
  <si>
    <t>Environmental Factors</t>
  </si>
  <si>
    <t>Unit</t>
  </si>
  <si>
    <t>t CO2-e/t</t>
  </si>
  <si>
    <t>Source</t>
  </si>
  <si>
    <t>RAS</t>
  </si>
  <si>
    <t>Calculation</t>
  </si>
  <si>
    <t>Value</t>
  </si>
  <si>
    <t>SA Organics Sector Report</t>
  </si>
  <si>
    <t>Cars off the road equivalent factor</t>
  </si>
  <si>
    <t>cars per tonne</t>
  </si>
  <si>
    <t>Trees planted equivalent factor</t>
  </si>
  <si>
    <t>trees per tonne</t>
  </si>
  <si>
    <t>Avoided tonnes of CO2-e</t>
  </si>
  <si>
    <t>Recycling stream</t>
  </si>
  <si>
    <t>This is equivalent to:</t>
  </si>
  <si>
    <t>or</t>
  </si>
  <si>
    <t>Rounded</t>
  </si>
  <si>
    <t xml:space="preserve">The environmental factors to convert recycling into greenhouse gas equivalent tonnes avoided are taken from the SA Recycling Activity Survey and additional analysis by Rawtec. </t>
  </si>
  <si>
    <t>Environmental benefits</t>
  </si>
  <si>
    <t>Waste Management Practice</t>
  </si>
  <si>
    <t>tonnes of CO2-e</t>
  </si>
  <si>
    <t>Completed by:</t>
  </si>
  <si>
    <t>1.5 m3</t>
  </si>
  <si>
    <t>Compactor 20 m3</t>
  </si>
  <si>
    <t>Compactor 10 m3</t>
  </si>
  <si>
    <t>Compactor 8 m3</t>
  </si>
  <si>
    <t>Compactor 30 m3</t>
  </si>
  <si>
    <t>3.0 m3</t>
  </si>
  <si>
    <t>4.5 m3</t>
  </si>
  <si>
    <t>3 m3</t>
  </si>
  <si>
    <t>6 m3</t>
  </si>
  <si>
    <t>8 m3</t>
  </si>
  <si>
    <r>
      <rPr>
        <b/>
        <sz val="11"/>
        <color theme="1" tint="0.249977111117893"/>
        <rFont val="Microsoft PhagsPa"/>
        <family val="2"/>
      </rPr>
      <t>Please note:</t>
    </r>
    <r>
      <rPr>
        <sz val="11"/>
        <color theme="1"/>
        <rFont val="Microsoft PhagsPa"/>
        <family val="2"/>
      </rPr>
      <t xml:space="preserve"> As your organisation reduces the amount of waste generated and/or increases reuse of items, the environmental performance may appear to go down over time because less is recycled through your collection services. Reducing waste generation or increasing reuse has much greater environmental benefit than recycling, but current data does not allow the tool to estimate its impact. </t>
    </r>
  </si>
  <si>
    <t>Enter # manually</t>
  </si>
  <si>
    <t>Name</t>
  </si>
  <si>
    <t>Position</t>
  </si>
  <si>
    <t>Waste &amp; Recycling Performance Calculator | Offices</t>
  </si>
  <si>
    <r>
      <t xml:space="preserve">No. of times </t>
    </r>
    <r>
      <rPr>
        <u/>
        <sz val="10"/>
        <color theme="0"/>
        <rFont val="Microsoft PhagsPa"/>
        <family val="2"/>
      </rPr>
      <t>each bin</t>
    </r>
    <r>
      <rPr>
        <sz val="10"/>
        <color theme="0"/>
        <rFont val="Microsoft PhagsPa"/>
        <family val="2"/>
      </rPr>
      <t xml:space="preserve"> collected in collection period</t>
    </r>
  </si>
  <si>
    <r>
      <rPr>
        <b/>
        <i/>
        <u/>
        <sz val="11"/>
        <color theme="1"/>
        <rFont val="Microsoft PhagsPa"/>
        <family val="2"/>
      </rPr>
      <t>Instructions</t>
    </r>
    <r>
      <rPr>
        <sz val="10"/>
        <color theme="1"/>
        <rFont val="Microsoft PhagsPa"/>
        <family val="2"/>
      </rPr>
      <t xml:space="preserve">
1. Enter the waste service by typing over "Enter custom waste/recycling stream" 
2. Provide the density (kg/m</t>
    </r>
    <r>
      <rPr>
        <vertAlign val="superscript"/>
        <sz val="10"/>
        <color theme="1"/>
        <rFont val="Microsoft PhagsPa"/>
        <family val="2"/>
      </rPr>
      <t>3</t>
    </r>
    <r>
      <rPr>
        <sz val="10"/>
        <color theme="1"/>
        <rFont val="Microsoft PhagsPa"/>
        <family val="2"/>
      </rPr>
      <t>) for the relevant bin size(s) at your site to calculate a conversion of cubic meters into tonnes. If unsure about the waste density, contact your waste service provider, or weigh one cubic metre of the material. 
3. Once entered on left, it will appear in the drop down list in the waste service type column in the table above and you can complete the other data entry steps.</t>
    </r>
  </si>
  <si>
    <t>Sustainable waste and recycling management is based on the waste management hierachy and the circular economy.
The Waste Management Hierarchy is recognised internationally as a framework for sustainability (Figure 1). It seeks to avoid and reduce material use where possible, to reuse and recycle materials that are already in circulation and responsibly recover, treat and dispose of that which cannot be reused or recycled.
A circular economy is an economy that is prosperous and regenerative by design (Figure 2). It is where  we use less natural and raw materials, keep products in use longer and design out waste and pollution. This can grow South Australia’s economic prosperity, improve, and sustain our environment and increase our wellbeing.</t>
  </si>
  <si>
    <t>Your organisation can demonstrate its commitment to corporate, social and environmental responsibility objectives by improving your waste and recycling management practices. You can improve your environmental performance by reducing greenhouse gas emissions from landfill disposal through avoiding waste, reuse or recycling.
The environmental benefits from the recycling streams included in this report are estimated below.:</t>
  </si>
  <si>
    <t>What you need to get started</t>
  </si>
  <si>
    <t>Waste and recycling managed across whole building</t>
  </si>
  <si>
    <t>Reporting period:</t>
  </si>
  <si>
    <t>Select from list</t>
  </si>
  <si>
    <t xml:space="preserve">There are additional recycling streams considered minimum standards and better practice. The following streams are sometimes provided by the Building Manager or contractors that remove items when they perform maintenance. We recommend you check to see if these materials are managed responsibly and recycled. </t>
  </si>
  <si>
    <t>This ‘Office Waste and Recycling Performance Calculator’ is an initiative of Green Industries SA (GISA) and developed by Rawtec Pty Ltd.</t>
  </si>
  <si>
    <t>Hard waste to recycling or energy recovery</t>
  </si>
  <si>
    <t>There are recommended minimum and better practice waste and recycling services for offices (see Waste and Recycling: Office Basics 2021 on the GISA website). The table below indicates if you meet these service levels. Factors like location (metro or regional) will impact what services are available.</t>
  </si>
  <si>
    <t>Does your organisation have these services?</t>
  </si>
  <si>
    <r>
      <t xml:space="preserve">Your organisation's waste and recycling performance is summarised below based on the waste management hierarchy:
• </t>
    </r>
    <r>
      <rPr>
        <b/>
        <sz val="11"/>
        <color theme="1"/>
        <rFont val="Microsoft PhagsPa"/>
        <family val="2"/>
      </rPr>
      <t>Reuse</t>
    </r>
    <r>
      <rPr>
        <sz val="11"/>
        <color theme="1"/>
        <rFont val="Microsoft PhagsPa"/>
        <family val="2"/>
      </rPr>
      <t xml:space="preserve"> means designing products for adaptability and durability to ensure they aren’t disposed of until no other options are viable. It also includes donating items that are no longer needed like furniture or quality electronic items. 
</t>
    </r>
    <r>
      <rPr>
        <b/>
        <sz val="11"/>
        <color theme="1"/>
        <rFont val="Microsoft PhagsPa"/>
        <family val="2"/>
      </rPr>
      <t>• Recycle</t>
    </r>
    <r>
      <rPr>
        <sz val="11"/>
        <color theme="1"/>
        <rFont val="Microsoft PhagsPa"/>
        <family val="2"/>
      </rPr>
      <t xml:space="preserve"> means collecting, sorting and processing materials so that they can be used again in the creation of new products. Recycling has a positive environmental impact and for some streams is more cost-effective than landfill.
• </t>
    </r>
    <r>
      <rPr>
        <b/>
        <sz val="11"/>
        <color theme="1"/>
        <rFont val="Microsoft PhagsPa"/>
        <family val="2"/>
      </rPr>
      <t>Recovery</t>
    </r>
    <r>
      <rPr>
        <sz val="11"/>
        <color theme="1"/>
        <rFont val="Microsoft PhagsPa"/>
        <family val="2"/>
      </rPr>
      <t xml:space="preserve"> is for waste that cannot be recycled and is converted into energy to extract heat and electricity. This is a higher value activity than landfill.
• </t>
    </r>
    <r>
      <rPr>
        <b/>
        <sz val="11"/>
        <color theme="1"/>
        <rFont val="Microsoft PhagsPa"/>
        <family val="2"/>
      </rPr>
      <t>Treat/Disposal</t>
    </r>
    <r>
      <rPr>
        <sz val="11"/>
        <color theme="1"/>
        <rFont val="Microsoft PhagsPa"/>
        <family val="2"/>
      </rPr>
      <t xml:space="preserve"> - Some waste materials may be hazardous (e.g. medical waste) and need to be treated to minimise harm. Disposal to landfill should only be used when other options are not viable. Materials going to landfill lose their value - other options retain material value in our economy and communities.
Moving materials up the waste management hierarchy helps to improve performance and reduce your impact on the environment. Environmental and financial performance can be increased by diverting waste from landfill. </t>
    </r>
  </si>
  <si>
    <t>Detailed service summary</t>
  </si>
  <si>
    <r>
      <t xml:space="preserve">Green Industries SA has developed a range of resources to help businesses improve their waste and resource management practices. These are available at the GISA website: greenindustries.sa.gov.au. 
GISA also offers a range of SA business support programs. To find out more, please contact GISA </t>
    </r>
    <r>
      <rPr>
        <sz val="10"/>
        <rFont val="Microsoft PhagsPa"/>
        <family val="2"/>
      </rPr>
      <t xml:space="preserve">via </t>
    </r>
  </si>
  <si>
    <t xml:space="preserve">https://www.greenindustries.sa.gov.au/contact-us </t>
  </si>
  <si>
    <t>Reducing waste generation provides financial savings. Costs for managing  waste include staff/cleaner time and service fees for waste collection, recycling and disposal. A large but less visible cost is purchasing products that are wasted due to overbuying or inefficient operations.
The main way your business can lower waste costs is to reduce waste generation. You can also lower your landfill levy payments, which are built into waste collection service fees, by increasing landfill diversion. This also reduces exposure to potential future cost increases in the SA solid waste levy.</t>
  </si>
  <si>
    <t>Paper and/or cardboard recycling</t>
  </si>
  <si>
    <t>E.g. financial year or calendar year</t>
  </si>
  <si>
    <t>Review details</t>
  </si>
  <si>
    <r>
      <t xml:space="preserve">Enter data into light blue cells:
</t>
    </r>
    <r>
      <rPr>
        <sz val="10"/>
        <color theme="1"/>
        <rFont val="Microsoft PhagsPa"/>
        <family val="2"/>
      </rPr>
      <t>• Organisation name, date, reporting period, completed by (name and position) and site name/location provides a reference if you complete the worksheet multiple times (“Save As" each time).
• The number of FTEs is used to calculate metrics in the ‘Waste Report’ tab
• The total number of occupied levels in the building is used to automatically calculate your organisation’s proportion of total building waste. The formula can be overwritten (cell D16) if you use another method to estimate your organisation’s portion of whole building waste.</t>
    </r>
  </si>
  <si>
    <t>Enter site data</t>
  </si>
  <si>
    <t>Enter waste and recycling services data below</t>
  </si>
  <si>
    <t>May</t>
  </si>
  <si>
    <t>Weight of materials</t>
  </si>
  <si>
    <t>kilograms</t>
  </si>
  <si>
    <t>tonnes</t>
  </si>
  <si>
    <t>Jan</t>
  </si>
  <si>
    <t>Feb</t>
  </si>
  <si>
    <t>Mar</t>
  </si>
  <si>
    <t>Apr</t>
  </si>
  <si>
    <t>Jun</t>
  </si>
  <si>
    <t>Jul</t>
  </si>
  <si>
    <t>Aug</t>
  </si>
  <si>
    <t>Sep</t>
  </si>
  <si>
    <t>Oct</t>
  </si>
  <si>
    <t>Nov</t>
  </si>
  <si>
    <t>Dec</t>
  </si>
  <si>
    <t>Organisation's proportion</t>
  </si>
  <si>
    <t>Whole building total</t>
  </si>
  <si>
    <t>$ per month - enter # manually</t>
  </si>
  <si>
    <t>2b. Actual weight of waste and recycling</t>
  </si>
  <si>
    <t>2a. Estimated waste and recycling volumes</t>
  </si>
  <si>
    <t>1. Review details</t>
  </si>
  <si>
    <t>3. Waste and recycling summary report</t>
  </si>
  <si>
    <t>Waste generation</t>
  </si>
  <si>
    <t>Costs</t>
  </si>
  <si>
    <t>Tonnes of material - enter # manually (if data is in kilograms, divide by 1,000)</t>
  </si>
  <si>
    <t>Rebates</t>
  </si>
  <si>
    <t>Waste and recycling standards list</t>
  </si>
  <si>
    <t>Origin of waste</t>
  </si>
  <si>
    <t>Whole building</t>
  </si>
  <si>
    <t>Your organisation</t>
  </si>
  <si>
    <t>Who generated the waste?</t>
  </si>
  <si>
    <t>Who generated this waste?</t>
  </si>
  <si>
    <t>The Office Waste and Recycling Performance Calculator allows office staff, facilities managers or people in similar roles to measure their waste and resource management performance. 
The tool can estimate total waste generation volumes, reuse levels, recycling levels, and waste management collection service costs. Understanding your current performance can help you to develop action plans and targets, report against climate change and other goals.</t>
  </si>
  <si>
    <t xml:space="preserve">This tool is designed for shared office spaces where a single invoice is provided for the whole building. There are two ways the invoices can be used, depending on what information they contain:
1) Estimate a year's worth of waste and recycling performance (this requires at least one invoice that is representative of a typical month that shows the waste and recycling streams, number of bins and how often they are collected).
2) Use actual data of the weight of materials from all the invoices across the year.
Cost information can also be used in this tool (e.g. cost per bin collection). 
Some recycling streams may be managed informally by staff, like drop-off of batteries. These details can be entered by estimating the size of the bin/container and how often they are managed. </t>
  </si>
  <si>
    <t>Automatic calculation from Cell D16 in Tab 1</t>
  </si>
  <si>
    <t>This value will calculate the proportion of the building the organisation occupies</t>
  </si>
  <si>
    <t>Automatic calculation based on Cell D16 in Tab 1</t>
  </si>
  <si>
    <t>Number of bins collected</t>
  </si>
  <si>
    <r>
      <rPr>
        <sz val="10"/>
        <rFont val="Microsoft PhagsPa"/>
        <family val="2"/>
      </rPr>
      <t xml:space="preserve">Use this sheet if waste and recycling invoices don't include the weight of bins/materials or there are materials that the organisation or building manage informally. </t>
    </r>
    <r>
      <rPr>
        <b/>
        <sz val="10"/>
        <rFont val="Microsoft PhagsPa"/>
        <family val="2"/>
      </rPr>
      <t xml:space="preserve">
Enter data into light blue cells:
</t>
    </r>
    <r>
      <rPr>
        <sz val="10"/>
        <rFont val="Microsoft PhagsPa"/>
        <family val="2"/>
      </rPr>
      <t xml:space="preserve">Provide information about your organisation's waste and recycling services, including service type (destination of waste will be automatically allocated based on service type), bin size, number of bins collected from the waste room (i.e. how many the collection truck lifts and empties), the number of times each bin is collected, and the collection period (use drop-downs). </t>
    </r>
    <r>
      <rPr>
        <b/>
        <sz val="10"/>
        <rFont val="Microsoft PhagsPa"/>
        <family val="2"/>
      </rPr>
      <t xml:space="preserve">
</t>
    </r>
    <r>
      <rPr>
        <sz val="10"/>
        <rFont val="Microsoft PhagsPa"/>
        <family val="2"/>
      </rPr>
      <t xml:space="preserve">  - Indicate in Column E if the material is generated across the whole building or just your organisation.
  - Adding cost information in the light green cells is optional.</t>
    </r>
    <r>
      <rPr>
        <b/>
        <sz val="10"/>
        <rFont val="Microsoft PhagsPa"/>
        <family val="2"/>
      </rPr>
      <t xml:space="preserve">
</t>
    </r>
    <r>
      <rPr>
        <i/>
        <sz val="10"/>
        <rFont val="Microsoft PhagsPa"/>
        <family val="2"/>
      </rPr>
      <t>Information you need to enter can be identified from waste invoices/reports (typically provided monthly). If you are unsure about your services, contact your building or facilities manager, or waste service provider.</t>
    </r>
  </si>
  <si>
    <t>This summary outlines your organisation's performance based on the information entered. It summarises waste generation, diversion and costs to manage this material.</t>
  </si>
  <si>
    <t>Total for your organisation</t>
  </si>
  <si>
    <t xml:space="preserve"> Note: Blank cells indicate no data was reported for these streams</t>
  </si>
  <si>
    <t>This calculator was prepared in Excel Version 2305. Some features may not work in older versions of Excel. 
This calculator shall only be used for the specific purpose as outlined above. It is the responsibility of the user of this document to safeguard the information entered. 
The information contained in this document is based upon sources, experimentation and methodology which at the time of preparing this document were believed to be reasonably reliable and the accuracy of this information subsequent to this date may not necessarily be valid. This information is not to be relied upon or extrapolated beyond its intended purpose.
This tool may be reproduced in whole or part for the purpose of study or training subject to: 
• the inclusion of an acknowledgement of the source
• it not being used for commercial purposes or sale
• the material being accurate and not used in a misleading context.
Reproduction for purposes other than those given above requires the prior written permission of Green Industries SA.</t>
  </si>
  <si>
    <r>
      <rPr>
        <b/>
        <sz val="10"/>
        <rFont val="Microsoft PhagsPa"/>
        <family val="2"/>
      </rPr>
      <t>1) Review details</t>
    </r>
    <r>
      <rPr>
        <sz val="10"/>
        <rFont val="Microsoft PhagsPa"/>
        <family val="2"/>
      </rPr>
      <t xml:space="preserve">
These details must be provided to allow automatic calculations on the Enter Data tabs.
</t>
    </r>
    <r>
      <rPr>
        <b/>
        <sz val="10"/>
        <rFont val="Microsoft PhagsPa"/>
        <family val="2"/>
      </rPr>
      <t>2a) Enter Data - Estimated volumes</t>
    </r>
    <r>
      <rPr>
        <sz val="10"/>
        <rFont val="Microsoft PhagsPa"/>
        <family val="2"/>
      </rPr>
      <t xml:space="preserve">
Use this tab for waste and recycling streams where you do not receive any data on the weight of material that is collected.
• If you are unsure about the size of your bins, please refer to the 'Bin Size Guide' tab for help.
• If your site has specialist waste streams, you may need to enter additional data about those waste streams. This can be done via the custom waste and recycling stream section below the data entry table. Once the custom stream is entered it will appear in the data entry table and will require you to fill in the remaining information. 
</t>
    </r>
    <r>
      <rPr>
        <b/>
        <sz val="10"/>
        <rFont val="Microsoft PhagsPa"/>
        <family val="2"/>
      </rPr>
      <t>2b) Enter Data - Actual weight</t>
    </r>
    <r>
      <rPr>
        <sz val="10"/>
        <rFont val="Microsoft PhagsPa"/>
        <family val="2"/>
      </rPr>
      <t xml:space="preserve">
Use this tab for waste and recycling streams where you have information on weight of material collected. Either add data for each month or estimate the average monthly totals based on a representative invoice. 
</t>
    </r>
    <r>
      <rPr>
        <b/>
        <sz val="10"/>
        <rFont val="Microsoft PhagsPa"/>
        <family val="2"/>
      </rPr>
      <t>3)</t>
    </r>
    <r>
      <rPr>
        <sz val="10"/>
        <rFont val="Microsoft PhagsPa"/>
        <family val="2"/>
      </rPr>
      <t xml:space="preserve"> A report will be generated summarising the organisation's site performance - see 'Waste Report'  tab. It will combine data entered in 2a and 2b. 
This Calculator can be used multiple times. Simply </t>
    </r>
    <r>
      <rPr>
        <i/>
        <sz val="10"/>
        <rFont val="Microsoft PhagsPa"/>
        <family val="2"/>
      </rPr>
      <t>'Save As'</t>
    </r>
    <r>
      <rPr>
        <sz val="10"/>
        <rFont val="Microsoft PhagsPa"/>
        <family val="2"/>
      </rPr>
      <t xml:space="preserve"> and enter new data for the desired period or a different site. </t>
    </r>
  </si>
  <si>
    <t>Version 2.2 - June 2023</t>
  </si>
  <si>
    <r>
      <rPr>
        <sz val="10"/>
        <rFont val="Microsoft PhagsPa"/>
        <family val="2"/>
      </rPr>
      <t>Use this sheet if waste and recycling invoices include the weight of bins/materials.</t>
    </r>
    <r>
      <rPr>
        <b/>
        <sz val="10"/>
        <rFont val="Microsoft PhagsPa"/>
        <family val="2"/>
      </rPr>
      <t xml:space="preserve">
Enter data into light blue cells:
</t>
    </r>
    <r>
      <rPr>
        <sz val="10"/>
        <rFont val="Microsoft PhagsPa"/>
        <family val="2"/>
      </rPr>
      <t xml:space="preserve">Provide the weight of the materials for each service type (destination of waste will be automatically allocated based on service type) from the invoice. </t>
    </r>
    <r>
      <rPr>
        <b/>
        <sz val="10"/>
        <rFont val="Microsoft PhagsPa"/>
        <family val="2"/>
      </rPr>
      <t xml:space="preserve">
</t>
    </r>
    <r>
      <rPr>
        <sz val="10"/>
        <rFont val="Microsoft PhagsPa"/>
        <family val="2"/>
      </rPr>
      <t xml:space="preserve">  - Insert the weight of material collected each month in tonnes (if data is in kilograms, divide by 1,000).
  - Indicate in Column E if the material is generated across the whole building or just your organisation.
  - Adding cost information in the light green cells is optional.</t>
    </r>
    <r>
      <rPr>
        <b/>
        <sz val="10"/>
        <rFont val="Microsoft PhagsPa"/>
        <family val="2"/>
      </rPr>
      <t xml:space="preserve">
</t>
    </r>
    <r>
      <rPr>
        <i/>
        <sz val="10"/>
        <rFont val="Microsoft PhagsPa"/>
        <family val="2"/>
      </rPr>
      <t>Information you need to enter can be identified from waste invoices/reports (typically provided monthly). If you are unsure about your services, contact your building or facilities manager, or waste service provider.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</si>
</sst>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6" formatCode="&quot;$&quot;#,##0;[Red]\-&quot;$&quot;#,##0"/>
    <numFmt numFmtId="8" formatCode="&quot;$&quot;#,##0.00;[Red]\-&quot;$&quot;#,##0.00"/>
    <numFmt numFmtId="44" formatCode="_-&quot;$&quot;* #,##0.00_-;\-&quot;$&quot;* #,##0.00_-;_-&quot;$&quot;* &quot;-&quot;??_-;_-@_-"/>
    <numFmt numFmtId="164" formatCode="0.0"/>
    <numFmt numFmtId="165" formatCode="_-&quot;$&quot;* #,##0_-;\-&quot;$&quot;* #,##0_-;_-&quot;$&quot;* &quot;-&quot;??_-;_-@_-"/>
    <numFmt numFmtId="166" formatCode="0.0%"/>
    <numFmt numFmtId="167" formatCode="&quot;$&quot;#,##0.0;[Red]\-&quot;$&quot;#,##0.0"/>
    <numFmt numFmtId="168" formatCode="0.000"/>
    <numFmt numFmtId="169" formatCode="0.0000"/>
    <numFmt numFmtId="170" formatCode="#,##0.0"/>
    <numFmt numFmtId="171" formatCode="&quot;$&quot;#,##0.00"/>
  </numFmts>
  <fonts count="60" x14ac:knownFonts="1">
    <font>
      <sz val="11"/>
      <color theme="1"/>
      <name val="Calibri"/>
      <family val="2"/>
      <scheme val="minor"/>
    </font>
    <font>
      <sz val="11"/>
      <color theme="1"/>
      <name val="Microsoft PhagsPa"/>
      <family val="2"/>
    </font>
    <font>
      <sz val="11"/>
      <color theme="1"/>
      <name val="Microsoft PhagsPa"/>
      <family val="2"/>
    </font>
    <font>
      <sz val="11"/>
      <color theme="1"/>
      <name val="Calibri"/>
      <family val="2"/>
      <scheme val="minor"/>
    </font>
    <font>
      <sz val="11"/>
      <color theme="1"/>
      <name val="Microsoft PhagsPa"/>
      <family val="2"/>
    </font>
    <font>
      <b/>
      <sz val="11"/>
      <color theme="0"/>
      <name val="Microsoft PhagsPa"/>
      <family val="2"/>
    </font>
    <font>
      <b/>
      <sz val="11"/>
      <color theme="1"/>
      <name val="Microsoft PhagsPa"/>
      <family val="2"/>
    </font>
    <font>
      <b/>
      <sz val="11"/>
      <name val="Microsoft PhagsPa"/>
      <family val="2"/>
    </font>
    <font>
      <sz val="10"/>
      <color theme="1"/>
      <name val="Microsoft PhagsPa"/>
      <family val="2"/>
    </font>
    <font>
      <sz val="11"/>
      <color theme="0"/>
      <name val="Microsoft PhagsPa"/>
      <family val="2"/>
    </font>
    <font>
      <b/>
      <sz val="10"/>
      <name val="Microsoft PhagsPa"/>
      <family val="2"/>
    </font>
    <font>
      <sz val="10"/>
      <name val="Microsoft PhagsPa"/>
      <family val="2"/>
    </font>
    <font>
      <b/>
      <sz val="14"/>
      <color theme="0"/>
      <name val="Microsoft PhagsPa"/>
      <family val="2"/>
    </font>
    <font>
      <i/>
      <sz val="10"/>
      <name val="Microsoft PhagsPa"/>
      <family val="2"/>
    </font>
    <font>
      <i/>
      <sz val="11"/>
      <color theme="1"/>
      <name val="Microsoft PhagsPa"/>
      <family val="2"/>
    </font>
    <font>
      <i/>
      <sz val="10"/>
      <color theme="1"/>
      <name val="Microsoft PhagsPa"/>
      <family val="2"/>
    </font>
    <font>
      <sz val="8"/>
      <name val="Calibri"/>
      <family val="2"/>
      <scheme val="minor"/>
    </font>
    <font>
      <b/>
      <sz val="14"/>
      <color theme="1"/>
      <name val="Microsoft PhagsPa"/>
      <family val="2"/>
    </font>
    <font>
      <sz val="10"/>
      <color theme="0"/>
      <name val="Microsoft PhagsPa"/>
      <family val="2"/>
    </font>
    <font>
      <b/>
      <sz val="12"/>
      <name val="Microsoft PhagsPa"/>
      <family val="2"/>
    </font>
    <font>
      <b/>
      <sz val="12"/>
      <color theme="0"/>
      <name val="Microsoft PhagsPa"/>
      <family val="2"/>
    </font>
    <font>
      <sz val="11"/>
      <name val="Microsoft PhagsPa"/>
      <family val="2"/>
    </font>
    <font>
      <b/>
      <vertAlign val="superscript"/>
      <sz val="14"/>
      <color theme="0"/>
      <name val="Microsoft PhagsPa"/>
      <family val="2"/>
    </font>
    <font>
      <sz val="14"/>
      <color theme="1"/>
      <name val="Microsoft PhagsPa"/>
      <family val="2"/>
    </font>
    <font>
      <sz val="11"/>
      <color rgb="FF000000"/>
      <name val="Microsoft PhagsPa"/>
      <family val="2"/>
    </font>
    <font>
      <b/>
      <sz val="11"/>
      <color rgb="FF000000"/>
      <name val="Microsoft PhagsPa"/>
      <family val="2"/>
    </font>
    <font>
      <vertAlign val="superscript"/>
      <sz val="11"/>
      <color rgb="FF000000"/>
      <name val="Microsoft PhagsPa"/>
      <family val="2"/>
    </font>
    <font>
      <vertAlign val="superscript"/>
      <sz val="10"/>
      <color theme="1"/>
      <name val="Microsoft PhagsPa"/>
      <family val="2"/>
    </font>
    <font>
      <b/>
      <i/>
      <u/>
      <sz val="11"/>
      <color theme="1"/>
      <name val="Microsoft PhagsPa"/>
      <family val="2"/>
    </font>
    <font>
      <vertAlign val="superscript"/>
      <sz val="10"/>
      <name val="Microsoft PhagsPa"/>
      <family val="2"/>
    </font>
    <font>
      <i/>
      <sz val="11"/>
      <color rgb="FFC00000"/>
      <name val="Microsoft PhagsPa"/>
      <family val="2"/>
    </font>
    <font>
      <sz val="8"/>
      <color theme="0"/>
      <name val="Microsoft PhagsPa"/>
      <family val="2"/>
    </font>
    <font>
      <b/>
      <vertAlign val="superscript"/>
      <sz val="11"/>
      <color theme="0"/>
      <name val="Microsoft PhagsPa"/>
      <family val="2"/>
    </font>
    <font>
      <i/>
      <sz val="8"/>
      <color theme="1" tint="0.499984740745262"/>
      <name val="Microsoft PhagsPa"/>
      <family val="2"/>
    </font>
    <font>
      <u/>
      <sz val="10"/>
      <color theme="0"/>
      <name val="Microsoft PhagsPa"/>
      <family val="2"/>
    </font>
    <font>
      <b/>
      <sz val="12"/>
      <color theme="1"/>
      <name val="Microsoft PhagsPa"/>
      <family val="2"/>
    </font>
    <font>
      <b/>
      <sz val="11"/>
      <color rgb="FFC00000"/>
      <name val="Microsoft PhagsPa"/>
      <family val="2"/>
    </font>
    <font>
      <sz val="10"/>
      <color rgb="FFC00000"/>
      <name val="Microsoft PhagsPa"/>
      <family val="2"/>
    </font>
    <font>
      <i/>
      <sz val="10"/>
      <color rgb="FFC00000"/>
      <name val="Microsoft PhagsPa"/>
      <family val="2"/>
    </font>
    <font>
      <i/>
      <sz val="10"/>
      <color theme="1" tint="0.499984740745262"/>
      <name val="Microsoft PhagsPa"/>
      <family val="2"/>
    </font>
    <font>
      <i/>
      <sz val="9"/>
      <color rgb="FF000000"/>
      <name val="Microsoft PhagsPa"/>
      <family val="2"/>
    </font>
    <font>
      <i/>
      <sz val="11"/>
      <color theme="1" tint="0.499984740745262"/>
      <name val="Microsoft PhagsPa"/>
      <family val="2"/>
    </font>
    <font>
      <b/>
      <u/>
      <sz val="11"/>
      <color theme="0"/>
      <name val="Microsoft PhagsPa"/>
      <family val="2"/>
    </font>
    <font>
      <i/>
      <sz val="10"/>
      <color theme="0"/>
      <name val="Microsoft PhagsPa"/>
      <family val="2"/>
    </font>
    <font>
      <sz val="9"/>
      <color theme="1"/>
      <name val="Microsoft PhagsPa"/>
      <family val="2"/>
    </font>
    <font>
      <i/>
      <sz val="9"/>
      <color theme="1"/>
      <name val="Microsoft PhagsPa"/>
      <family val="2"/>
    </font>
    <font>
      <b/>
      <sz val="11"/>
      <color theme="1" tint="0.249977111117893"/>
      <name val="Microsoft PhagsPa"/>
      <family val="2"/>
    </font>
    <font>
      <i/>
      <sz val="9"/>
      <color theme="1" tint="0.499984740745262"/>
      <name val="Microsoft PhagsPa"/>
      <family val="2"/>
    </font>
    <font>
      <sz val="9"/>
      <color indexed="81"/>
      <name val="Tahoma"/>
      <family val="2"/>
    </font>
    <font>
      <u/>
      <sz val="11"/>
      <color theme="10"/>
      <name val="Calibri"/>
      <family val="2"/>
      <scheme val="minor"/>
    </font>
    <font>
      <u/>
      <sz val="10"/>
      <color rgb="FF2C8AB7"/>
      <name val="Microsoft PhagsPa"/>
      <family val="2"/>
    </font>
    <font>
      <i/>
      <sz val="10"/>
      <color theme="0" tint="-0.14999847407452621"/>
      <name val="Microsoft PhagsPa"/>
      <family val="2"/>
    </font>
    <font>
      <i/>
      <sz val="12"/>
      <color theme="0" tint="-0.14999847407452621"/>
      <name val="Microsoft PhagsPa"/>
      <family val="2"/>
    </font>
    <font>
      <i/>
      <sz val="11"/>
      <color theme="0" tint="-0.14999847407452621"/>
      <name val="Microsoft PhagsPa"/>
      <family val="2"/>
    </font>
    <font>
      <b/>
      <sz val="10"/>
      <color theme="1"/>
      <name val="Microsoft PhagsPa"/>
      <family val="2"/>
    </font>
    <font>
      <b/>
      <sz val="16"/>
      <color rgb="FF1D5C7A"/>
      <name val="Microsoft PhagsPa"/>
      <family val="2"/>
    </font>
    <font>
      <i/>
      <sz val="8"/>
      <color theme="0"/>
      <name val="Microsoft PhagsPa"/>
      <family val="2"/>
    </font>
    <font>
      <b/>
      <i/>
      <sz val="8"/>
      <color theme="0"/>
      <name val="Microsoft PhagsPa"/>
      <family val="2"/>
    </font>
    <font>
      <i/>
      <sz val="9"/>
      <color rgb="FFC00000"/>
      <name val="Microsoft PhagsPa"/>
      <family val="2"/>
    </font>
    <font>
      <sz val="9"/>
      <color theme="1" tint="0.499984740745262"/>
      <name val="Microsoft PhagsPa"/>
      <family val="2"/>
    </font>
  </fonts>
  <fills count="2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DDEEF7"/>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rgb="FF2C8AB7"/>
        <bgColor indexed="64"/>
      </patternFill>
    </fill>
    <fill>
      <patternFill patternType="solid">
        <fgColor rgb="FF1D5C7A"/>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rgb="FFFFFFB3"/>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FF00"/>
        <bgColor indexed="64"/>
      </patternFill>
    </fill>
    <fill>
      <patternFill patternType="solid">
        <fgColor theme="1" tint="0.499984740745262"/>
        <bgColor indexed="64"/>
      </patternFill>
    </fill>
    <fill>
      <patternFill patternType="solid">
        <fgColor rgb="FFEDF4D6"/>
        <bgColor indexed="64"/>
      </patternFill>
    </fill>
  </fills>
  <borders count="56">
    <border>
      <left/>
      <right/>
      <top/>
      <bottom/>
      <diagonal/>
    </border>
    <border>
      <left/>
      <right/>
      <top/>
      <bottom style="thin">
        <color rgb="FF59AED7"/>
      </bottom>
      <diagonal/>
    </border>
    <border>
      <left/>
      <right/>
      <top style="thin">
        <color rgb="FF59AED7"/>
      </top>
      <bottom style="thin">
        <color rgb="FF59AED7"/>
      </bottom>
      <diagonal/>
    </border>
    <border>
      <left/>
      <right/>
      <top style="thin">
        <color rgb="FF59AED7"/>
      </top>
      <bottom/>
      <diagonal/>
    </border>
    <border>
      <left style="thin">
        <color rgb="FF59AED7"/>
      </left>
      <right style="thin">
        <color rgb="FF59AED7"/>
      </right>
      <top style="thin">
        <color rgb="FF59AED7"/>
      </top>
      <bottom style="thin">
        <color rgb="FF59AED7"/>
      </bottom>
      <diagonal/>
    </border>
    <border>
      <left/>
      <right/>
      <top style="medium">
        <color rgb="FF59AED7"/>
      </top>
      <bottom style="thin">
        <color rgb="FF59AED7"/>
      </bottom>
      <diagonal/>
    </border>
    <border>
      <left/>
      <right/>
      <top/>
      <bottom style="thin">
        <color rgb="FF00B0F0"/>
      </bottom>
      <diagonal/>
    </border>
    <border>
      <left/>
      <right/>
      <top style="thin">
        <color rgb="FF59AED7"/>
      </top>
      <bottom style="medium">
        <color rgb="FF59AED7"/>
      </bottom>
      <diagonal/>
    </border>
    <border>
      <left style="thin">
        <color rgb="FF59AED7"/>
      </left>
      <right style="thin">
        <color rgb="FF59AED7"/>
      </right>
      <top/>
      <bottom style="thin">
        <color rgb="FF59AED7"/>
      </bottom>
      <diagonal/>
    </border>
    <border>
      <left style="thin">
        <color rgb="FF59AED7"/>
      </left>
      <right/>
      <top style="thin">
        <color rgb="FF59AED7"/>
      </top>
      <bottom style="thin">
        <color rgb="FF59AED7"/>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style="thin">
        <color theme="0"/>
      </right>
      <top style="thin">
        <color rgb="FF00B0F0"/>
      </top>
      <bottom style="thin">
        <color rgb="FF59AED7"/>
      </bottom>
      <diagonal/>
    </border>
    <border>
      <left style="thin">
        <color theme="0"/>
      </left>
      <right style="thin">
        <color theme="0"/>
      </right>
      <top style="thin">
        <color theme="0"/>
      </top>
      <bottom style="thin">
        <color rgb="FF00B0F0"/>
      </bottom>
      <diagonal/>
    </border>
    <border>
      <left style="thin">
        <color theme="0"/>
      </left>
      <right style="thin">
        <color theme="0"/>
      </right>
      <top style="thin">
        <color rgb="FF00B0F0"/>
      </top>
      <bottom style="thin">
        <color rgb="FF00B0F0"/>
      </bottom>
      <diagonal/>
    </border>
    <border>
      <left style="thin">
        <color theme="0"/>
      </left>
      <right style="thin">
        <color theme="0"/>
      </right>
      <top/>
      <bottom style="thin">
        <color rgb="FF00B0F0"/>
      </bottom>
      <diagonal/>
    </border>
    <border>
      <left style="thin">
        <color theme="0"/>
      </left>
      <right/>
      <top/>
      <bottom style="thin">
        <color rgb="FF00B0F0"/>
      </bottom>
      <diagonal/>
    </border>
    <border>
      <left/>
      <right style="thin">
        <color rgb="FF59AED7"/>
      </right>
      <top style="thin">
        <color rgb="FF59AED7"/>
      </top>
      <bottom style="thin">
        <color rgb="FF59AED7"/>
      </bottom>
      <diagonal/>
    </border>
    <border>
      <left style="thin">
        <color rgb="FF59AED7"/>
      </left>
      <right style="thin">
        <color theme="0"/>
      </right>
      <top/>
      <bottom style="thin">
        <color rgb="FF59AED7"/>
      </bottom>
      <diagonal/>
    </border>
    <border>
      <left style="thin">
        <color theme="0"/>
      </left>
      <right style="thin">
        <color rgb="FF59AED7"/>
      </right>
      <top/>
      <bottom/>
      <diagonal/>
    </border>
    <border>
      <left/>
      <right style="thin">
        <color rgb="FF59AED7"/>
      </right>
      <top/>
      <bottom style="thin">
        <color rgb="FF59AED7"/>
      </bottom>
      <diagonal/>
    </border>
    <border>
      <left style="thin">
        <color theme="0"/>
      </left>
      <right style="thin">
        <color rgb="FF59AED7"/>
      </right>
      <top style="thin">
        <color rgb="FF00B0F0"/>
      </top>
      <bottom style="thin">
        <color rgb="FF59AED7"/>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rgb="FF59AED7"/>
      </right>
      <top/>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top style="thin">
        <color rgb="FF59AED7"/>
      </top>
      <bottom style="thin">
        <color theme="0"/>
      </bottom>
      <diagonal/>
    </border>
    <border>
      <left/>
      <right/>
      <top style="thin">
        <color rgb="FF00B0F0"/>
      </top>
      <bottom style="thin">
        <color rgb="FF59AED7"/>
      </bottom>
      <diagonal/>
    </border>
    <border>
      <left style="thin">
        <color theme="0" tint="-4.9989318521683403E-2"/>
      </left>
      <right/>
      <top/>
      <bottom/>
      <diagonal/>
    </border>
    <border>
      <left/>
      <right/>
      <top style="thin">
        <color theme="0" tint="-4.9989318521683403E-2"/>
      </top>
      <bottom/>
      <diagonal/>
    </border>
    <border>
      <left style="thin">
        <color theme="0"/>
      </left>
      <right style="thin">
        <color theme="0" tint="-4.9989318521683403E-2"/>
      </right>
      <top style="thin">
        <color theme="0"/>
      </top>
      <bottom/>
      <diagonal/>
    </border>
    <border>
      <left style="thin">
        <color theme="0"/>
      </left>
      <right style="thin">
        <color theme="0" tint="-4.9989318521683403E-2"/>
      </right>
      <top/>
      <bottom style="thin">
        <color rgb="FF00B0F0"/>
      </bottom>
      <diagonal/>
    </border>
    <border>
      <left style="thin">
        <color rgb="FF59AED7"/>
      </left>
      <right style="thin">
        <color theme="0"/>
      </right>
      <top style="thin">
        <color rgb="FF59AED7"/>
      </top>
      <bottom style="thin">
        <color rgb="FF59AED7"/>
      </bottom>
      <diagonal/>
    </border>
    <border>
      <left/>
      <right style="thin">
        <color theme="0"/>
      </right>
      <top style="thin">
        <color rgb="FF59AED7"/>
      </top>
      <bottom style="thin">
        <color rgb="FF59AED7"/>
      </bottom>
      <diagonal/>
    </border>
    <border>
      <left style="thin">
        <color theme="0"/>
      </left>
      <right style="thin">
        <color theme="0"/>
      </right>
      <top style="thin">
        <color rgb="FF59AED7"/>
      </top>
      <bottom style="thin">
        <color rgb="FF59AED7"/>
      </bottom>
      <diagonal/>
    </border>
    <border>
      <left style="thin">
        <color theme="0"/>
      </left>
      <right style="thin">
        <color theme="0"/>
      </right>
      <top/>
      <bottom style="thin">
        <color rgb="FF59AED7"/>
      </bottom>
      <diagonal/>
    </border>
    <border>
      <left/>
      <right style="thin">
        <color theme="0"/>
      </right>
      <top/>
      <bottom style="thin">
        <color rgb="FF59AED7"/>
      </bottom>
      <diagonal/>
    </border>
    <border>
      <left/>
      <right/>
      <top style="thin">
        <color theme="0" tint="-0.14999847407452621"/>
      </top>
      <bottom style="thin">
        <color theme="0" tint="-0.14996795556505021"/>
      </bottom>
      <diagonal/>
    </border>
    <border>
      <left style="thin">
        <color theme="0"/>
      </left>
      <right style="thin">
        <color rgb="FF59AED7"/>
      </right>
      <top style="thin">
        <color rgb="FF59AED7"/>
      </top>
      <bottom style="thin">
        <color rgb="FF59AED7"/>
      </bottom>
      <diagonal/>
    </border>
    <border>
      <left style="thin">
        <color theme="0"/>
      </left>
      <right style="thin">
        <color rgb="FF59AED7"/>
      </right>
      <top/>
      <bottom style="thin">
        <color rgb="FF59AED7"/>
      </bottom>
      <diagonal/>
    </border>
    <border>
      <left/>
      <right/>
      <top style="thin">
        <color rgb="FF2C8AB7"/>
      </top>
      <bottom/>
      <diagonal/>
    </border>
    <border>
      <left/>
      <right/>
      <top style="thin">
        <color theme="0"/>
      </top>
      <bottom style="thin">
        <color rgb="FF2C8AB7"/>
      </bottom>
      <diagonal/>
    </border>
    <border>
      <left style="thin">
        <color rgb="FF59AED7"/>
      </left>
      <right/>
      <top/>
      <bottom/>
      <diagonal/>
    </border>
    <border>
      <left/>
      <right style="thin">
        <color theme="0"/>
      </right>
      <top style="thin">
        <color theme="0"/>
      </top>
      <bottom style="thin">
        <color theme="0"/>
      </bottom>
      <diagonal/>
    </border>
    <border>
      <left style="thin">
        <color theme="0"/>
      </left>
      <right/>
      <top style="thin">
        <color rgb="FF59AED7"/>
      </top>
      <bottom style="thin">
        <color rgb="FF59AED7"/>
      </bottom>
      <diagonal/>
    </border>
    <border>
      <left style="thin">
        <color theme="0"/>
      </left>
      <right/>
      <top style="thin">
        <color theme="0"/>
      </top>
      <bottom style="thin">
        <color theme="0"/>
      </bottom>
      <diagonal/>
    </border>
    <border>
      <left style="thin">
        <color rgb="FF59AED7"/>
      </left>
      <right/>
      <top/>
      <bottom style="thin">
        <color rgb="FF59AED7"/>
      </bottom>
      <diagonal/>
    </border>
  </borders>
  <cellStyleXfs count="4">
    <xf numFmtId="0" fontId="0" fillId="0" borderId="0"/>
    <xf numFmtId="9" fontId="3" fillId="0" borderId="0" applyFont="0" applyFill="0" applyBorder="0" applyAlignment="0" applyProtection="0"/>
    <xf numFmtId="44" fontId="3" fillId="0" borderId="0" applyFont="0" applyFill="0" applyBorder="0" applyAlignment="0" applyProtection="0"/>
    <xf numFmtId="0" fontId="49" fillId="0" borderId="0" applyNumberFormat="0" applyFill="0" applyBorder="0" applyAlignment="0" applyProtection="0"/>
  </cellStyleXfs>
  <cellXfs count="414">
    <xf numFmtId="0" fontId="0" fillId="0" borderId="0" xfId="0"/>
    <xf numFmtId="0" fontId="11" fillId="6" borderId="2" xfId="0" applyFont="1" applyFill="1" applyBorder="1" applyAlignment="1" applyProtection="1">
      <alignment horizontal="center" vertical="center"/>
      <protection locked="0"/>
    </xf>
    <xf numFmtId="0" fontId="4" fillId="3" borderId="0" xfId="0" applyFont="1" applyFill="1" applyAlignment="1">
      <alignment vertical="center"/>
    </xf>
    <xf numFmtId="14" fontId="11" fillId="6" borderId="2" xfId="0" applyNumberFormat="1" applyFont="1" applyFill="1" applyBorder="1" applyAlignment="1" applyProtection="1">
      <alignment horizontal="center" vertical="center"/>
      <protection locked="0"/>
    </xf>
    <xf numFmtId="0" fontId="11" fillId="6" borderId="5" xfId="0" applyFont="1" applyFill="1" applyBorder="1" applyAlignment="1" applyProtection="1">
      <alignment horizontal="center" vertical="center"/>
      <protection locked="0"/>
    </xf>
    <xf numFmtId="0" fontId="4" fillId="0" borderId="0" xfId="0" applyFont="1" applyAlignment="1">
      <alignment vertical="center"/>
    </xf>
    <xf numFmtId="0" fontId="11" fillId="3" borderId="0" xfId="0" applyFont="1" applyFill="1" applyAlignment="1">
      <alignment vertical="center" wrapText="1"/>
    </xf>
    <xf numFmtId="0" fontId="10" fillId="3" borderId="0" xfId="0" applyFont="1" applyFill="1" applyAlignment="1">
      <alignment vertical="center" wrapText="1"/>
    </xf>
    <xf numFmtId="0" fontId="9" fillId="3" borderId="0" xfId="0" applyFont="1" applyFill="1"/>
    <xf numFmtId="0" fontId="2" fillId="0" borderId="0" xfId="0" applyFont="1"/>
    <xf numFmtId="0" fontId="23" fillId="0" borderId="0" xfId="0" applyFont="1" applyAlignment="1">
      <alignment horizontal="center" vertical="center"/>
    </xf>
    <xf numFmtId="0" fontId="2" fillId="0" borderId="0" xfId="0" applyFont="1" applyAlignment="1">
      <alignment horizontal="center" vertical="center"/>
    </xf>
    <xf numFmtId="0" fontId="23" fillId="0" borderId="0" xfId="0" applyFont="1"/>
    <xf numFmtId="0" fontId="4" fillId="3" borderId="0" xfId="0" applyFont="1" applyFill="1" applyAlignment="1">
      <alignment horizontal="right" vertical="center"/>
    </xf>
    <xf numFmtId="2" fontId="11" fillId="6" borderId="2" xfId="0" applyNumberFormat="1" applyFont="1" applyFill="1" applyBorder="1" applyAlignment="1" applyProtection="1">
      <alignment horizontal="center" vertical="center"/>
      <protection locked="0"/>
    </xf>
    <xf numFmtId="0" fontId="11" fillId="6" borderId="2" xfId="0" applyFont="1" applyFill="1" applyBorder="1" applyAlignment="1" applyProtection="1">
      <alignment horizontal="left" vertical="center"/>
      <protection locked="0"/>
    </xf>
    <xf numFmtId="9" fontId="11" fillId="2" borderId="2" xfId="1" applyFont="1" applyFill="1" applyBorder="1" applyAlignment="1" applyProtection="1">
      <alignment horizontal="center" vertical="center"/>
      <protection locked="0"/>
    </xf>
    <xf numFmtId="0" fontId="11" fillId="6" borderId="4" xfId="0" applyFont="1" applyFill="1" applyBorder="1" applyAlignment="1" applyProtection="1">
      <alignment horizontal="center" vertical="center"/>
      <protection locked="0"/>
    </xf>
    <xf numFmtId="2" fontId="11" fillId="6" borderId="26" xfId="0" applyNumberFormat="1" applyFont="1" applyFill="1" applyBorder="1" applyAlignment="1" applyProtection="1">
      <alignment horizontal="center" vertical="center"/>
      <protection locked="0"/>
    </xf>
    <xf numFmtId="0" fontId="11" fillId="6" borderId="2" xfId="0" applyFont="1" applyFill="1" applyBorder="1" applyAlignment="1" applyProtection="1">
      <alignment horizontal="center" vertical="center" wrapText="1"/>
      <protection locked="0"/>
    </xf>
    <xf numFmtId="0" fontId="1" fillId="3" borderId="0" xfId="0" applyFont="1" applyFill="1" applyAlignment="1">
      <alignment vertical="center"/>
    </xf>
    <xf numFmtId="0" fontId="6" fillId="3" borderId="0" xfId="0" applyFont="1" applyFill="1" applyAlignment="1">
      <alignment horizontal="center" vertical="center"/>
    </xf>
    <xf numFmtId="0" fontId="6" fillId="3" borderId="0" xfId="0" applyFont="1" applyFill="1" applyAlignment="1">
      <alignment vertical="center"/>
    </xf>
    <xf numFmtId="9" fontId="4" fillId="3" borderId="0" xfId="0" applyNumberFormat="1" applyFont="1" applyFill="1" applyAlignment="1">
      <alignment horizontal="center" vertical="center"/>
    </xf>
    <xf numFmtId="0" fontId="1" fillId="3" borderId="0" xfId="0" applyFont="1" applyFill="1" applyAlignment="1">
      <alignment horizontal="left" vertical="center"/>
    </xf>
    <xf numFmtId="0" fontId="12" fillId="11" borderId="0" xfId="0" applyFont="1" applyFill="1" applyAlignment="1">
      <alignment vertical="center"/>
    </xf>
    <xf numFmtId="0" fontId="1" fillId="3" borderId="2" xfId="0" applyFont="1" applyFill="1" applyBorder="1" applyAlignment="1">
      <alignment vertical="center"/>
    </xf>
    <xf numFmtId="0" fontId="1" fillId="3" borderId="2" xfId="0" applyFont="1" applyFill="1" applyBorder="1" applyAlignment="1">
      <alignment horizontal="left" vertical="center"/>
    </xf>
    <xf numFmtId="0" fontId="1" fillId="3" borderId="1" xfId="0" applyFont="1" applyFill="1" applyBorder="1" applyAlignment="1">
      <alignment horizontal="left" vertical="center"/>
    </xf>
    <xf numFmtId="0" fontId="4" fillId="3" borderId="3" xfId="0" applyFont="1" applyFill="1" applyBorder="1" applyAlignment="1">
      <alignment horizontal="center" vertical="center"/>
    </xf>
    <xf numFmtId="0" fontId="1" fillId="3" borderId="3" xfId="0" applyFont="1" applyFill="1" applyBorder="1" applyAlignment="1">
      <alignment horizontal="center" vertical="center"/>
    </xf>
    <xf numFmtId="0" fontId="30" fillId="2" borderId="1" xfId="0" applyFont="1" applyFill="1" applyBorder="1" applyAlignment="1">
      <alignment horizontal="left" vertical="center"/>
    </xf>
    <xf numFmtId="0" fontId="2" fillId="3" borderId="0" xfId="0" applyFont="1" applyFill="1"/>
    <xf numFmtId="0" fontId="23" fillId="3" borderId="0" xfId="0" applyFont="1" applyFill="1"/>
    <xf numFmtId="0" fontId="2" fillId="3" borderId="0" xfId="0" applyFont="1" applyFill="1" applyAlignment="1">
      <alignment horizontal="center" vertical="center"/>
    </xf>
    <xf numFmtId="0" fontId="23" fillId="3" borderId="0" xfId="0" applyFont="1" applyFill="1" applyAlignment="1">
      <alignment horizontal="center" vertical="center"/>
    </xf>
    <xf numFmtId="0" fontId="1" fillId="3" borderId="31" xfId="0" applyFont="1" applyFill="1" applyBorder="1" applyAlignment="1">
      <alignment horizontal="center" vertical="center"/>
    </xf>
    <xf numFmtId="0" fontId="2" fillId="3" borderId="31" xfId="0" applyFont="1" applyFill="1" applyBorder="1" applyAlignment="1">
      <alignment horizontal="center" vertical="center"/>
    </xf>
    <xf numFmtId="0" fontId="2" fillId="3" borderId="31"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24" fillId="3" borderId="31" xfId="0" applyFont="1" applyFill="1" applyBorder="1" applyAlignment="1">
      <alignment horizontal="center" vertical="center"/>
    </xf>
    <xf numFmtId="0" fontId="24" fillId="3" borderId="31" xfId="0" applyFont="1" applyFill="1" applyBorder="1" applyAlignment="1">
      <alignment horizontal="center" vertical="center" wrapText="1"/>
    </xf>
    <xf numFmtId="0" fontId="12" fillId="10" borderId="0" xfId="0" applyFont="1" applyFill="1" applyAlignment="1">
      <alignment horizontal="center" vertical="center"/>
    </xf>
    <xf numFmtId="0" fontId="11" fillId="7" borderId="4" xfId="0" applyFont="1" applyFill="1" applyBorder="1" applyAlignment="1" applyProtection="1">
      <alignment horizontal="center" vertical="center"/>
      <protection locked="0"/>
    </xf>
    <xf numFmtId="0" fontId="1" fillId="0" borderId="0" xfId="0" applyFont="1" applyAlignment="1">
      <alignment vertical="center"/>
    </xf>
    <xf numFmtId="0" fontId="1" fillId="3" borderId="0" xfId="0" applyFont="1" applyFill="1" applyAlignment="1">
      <alignment horizontal="center" vertical="center"/>
    </xf>
    <xf numFmtId="164" fontId="1" fillId="3" borderId="0" xfId="0" applyNumberFormat="1" applyFont="1" applyFill="1" applyAlignment="1">
      <alignment vertical="center"/>
    </xf>
    <xf numFmtId="0" fontId="6" fillId="3" borderId="0" xfId="0" applyFont="1" applyFill="1" applyAlignment="1">
      <alignment horizontal="left" vertical="center"/>
    </xf>
    <xf numFmtId="164" fontId="1" fillId="3" borderId="0" xfId="0" applyNumberFormat="1" applyFont="1" applyFill="1" applyAlignment="1">
      <alignment horizontal="left" vertical="center"/>
    </xf>
    <xf numFmtId="0" fontId="5" fillId="10" borderId="0" xfId="0" applyFont="1" applyFill="1" applyAlignment="1">
      <alignment vertical="center"/>
    </xf>
    <xf numFmtId="0" fontId="9" fillId="10" borderId="0" xfId="0" applyFont="1" applyFill="1" applyAlignment="1">
      <alignment vertical="center"/>
    </xf>
    <xf numFmtId="0" fontId="9" fillId="10" borderId="0" xfId="0" applyFont="1" applyFill="1" applyAlignment="1">
      <alignment horizontal="left" vertical="center"/>
    </xf>
    <xf numFmtId="1" fontId="1" fillId="3" borderId="0" xfId="0" applyNumberFormat="1" applyFont="1" applyFill="1" applyAlignment="1">
      <alignment vertical="center"/>
    </xf>
    <xf numFmtId="0" fontId="11" fillId="7" borderId="4" xfId="0" applyFont="1" applyFill="1" applyBorder="1" applyAlignment="1" applyProtection="1">
      <alignment horizontal="left" vertical="center"/>
      <protection locked="0"/>
    </xf>
    <xf numFmtId="0" fontId="11" fillId="7" borderId="8" xfId="0" applyFont="1" applyFill="1" applyBorder="1" applyAlignment="1" applyProtection="1">
      <alignment horizontal="left" vertical="center"/>
      <protection locked="0"/>
    </xf>
    <xf numFmtId="0" fontId="11" fillId="6" borderId="8" xfId="0" applyFont="1" applyFill="1" applyBorder="1" applyAlignment="1" applyProtection="1">
      <alignment horizontal="center" vertical="center"/>
      <protection locked="0"/>
    </xf>
    <xf numFmtId="0" fontId="5" fillId="10" borderId="11" xfId="0" applyFont="1" applyFill="1" applyBorder="1" applyAlignment="1">
      <alignment horizontal="center" vertical="center"/>
    </xf>
    <xf numFmtId="0" fontId="9" fillId="10" borderId="11" xfId="0" applyFont="1" applyFill="1" applyBorder="1" applyAlignment="1">
      <alignment horizontal="center" vertical="center"/>
    </xf>
    <xf numFmtId="0" fontId="9" fillId="10" borderId="11" xfId="0" applyFont="1" applyFill="1" applyBorder="1" applyAlignment="1">
      <alignment horizontal="center" vertical="center" wrapText="1"/>
    </xf>
    <xf numFmtId="164" fontId="9" fillId="10" borderId="11" xfId="0" applyNumberFormat="1" applyFont="1" applyFill="1" applyBorder="1" applyAlignment="1">
      <alignment horizontal="center" vertical="center"/>
    </xf>
    <xf numFmtId="0" fontId="6" fillId="3" borderId="0" xfId="0" applyFont="1" applyFill="1" applyAlignment="1">
      <alignment horizontal="center" vertical="center" wrapText="1"/>
    </xf>
    <xf numFmtId="0" fontId="5" fillId="10" borderId="13" xfId="0" applyFont="1" applyFill="1" applyBorder="1" applyAlignment="1">
      <alignment horizontal="center" vertical="center"/>
    </xf>
    <xf numFmtId="0" fontId="5" fillId="10" borderId="15" xfId="0" applyFont="1" applyFill="1" applyBorder="1" applyAlignment="1">
      <alignment horizontal="center" vertical="center"/>
    </xf>
    <xf numFmtId="0" fontId="5" fillId="10" borderId="12" xfId="0" applyFont="1" applyFill="1" applyBorder="1" applyAlignment="1">
      <alignment horizontal="center" vertical="center"/>
    </xf>
    <xf numFmtId="0" fontId="4" fillId="3" borderId="33" xfId="0" applyFont="1" applyFill="1" applyBorder="1" applyAlignment="1">
      <alignment vertical="center"/>
    </xf>
    <xf numFmtId="0" fontId="1" fillId="3" borderId="33" xfId="0" applyFont="1" applyFill="1" applyBorder="1" applyAlignment="1">
      <alignment vertical="center"/>
    </xf>
    <xf numFmtId="0" fontId="8" fillId="3" borderId="0" xfId="0" applyFont="1" applyFill="1" applyAlignment="1">
      <alignment vertical="center"/>
    </xf>
    <xf numFmtId="9" fontId="4" fillId="3" borderId="0" xfId="1" applyFont="1" applyFill="1" applyAlignment="1" applyProtection="1">
      <alignment vertical="center"/>
    </xf>
    <xf numFmtId="0" fontId="35" fillId="3" borderId="0" xfId="0" applyFont="1" applyFill="1" applyAlignment="1">
      <alignment horizontal="center" vertical="center" wrapText="1"/>
    </xf>
    <xf numFmtId="0" fontId="35" fillId="0" borderId="0" xfId="0" applyFont="1" applyAlignment="1">
      <alignment horizontal="center" vertical="center" wrapText="1"/>
    </xf>
    <xf numFmtId="0" fontId="6" fillId="14" borderId="0" xfId="0" applyFont="1" applyFill="1" applyAlignment="1">
      <alignment horizontal="left" vertical="center"/>
    </xf>
    <xf numFmtId="0" fontId="6" fillId="3" borderId="0" xfId="0" applyFont="1" applyFill="1" applyAlignment="1">
      <alignment vertical="center" wrapText="1"/>
    </xf>
    <xf numFmtId="0" fontId="6" fillId="13" borderId="0" xfId="0" applyFont="1" applyFill="1" applyAlignment="1">
      <alignment horizontal="left" vertical="center" wrapText="1"/>
    </xf>
    <xf numFmtId="0" fontId="38" fillId="7" borderId="8" xfId="0" applyFont="1" applyFill="1" applyBorder="1" applyAlignment="1" applyProtection="1">
      <alignment horizontal="center" vertical="center"/>
      <protection locked="0"/>
    </xf>
    <xf numFmtId="0" fontId="38" fillId="7" borderId="4" xfId="0" applyFont="1" applyFill="1" applyBorder="1" applyAlignment="1" applyProtection="1">
      <alignment horizontal="center" vertical="center"/>
      <protection locked="0"/>
    </xf>
    <xf numFmtId="0" fontId="30" fillId="13" borderId="0" xfId="0" applyFont="1" applyFill="1" applyAlignment="1">
      <alignment horizontal="center" vertical="center" wrapText="1"/>
    </xf>
    <xf numFmtId="0" fontId="38" fillId="7" borderId="0" xfId="0" applyFont="1" applyFill="1" applyAlignment="1" applyProtection="1">
      <alignment horizontal="center" vertical="center"/>
      <protection locked="0"/>
    </xf>
    <xf numFmtId="0" fontId="11" fillId="3" borderId="1" xfId="0" applyFont="1" applyFill="1" applyBorder="1" applyAlignment="1" applyProtection="1">
      <alignment horizontal="left" vertical="center"/>
      <protection locked="0"/>
    </xf>
    <xf numFmtId="0" fontId="11" fillId="3" borderId="2" xfId="0" applyFont="1" applyFill="1" applyBorder="1" applyAlignment="1" applyProtection="1">
      <alignment horizontal="left" vertical="center"/>
      <protection locked="0"/>
    </xf>
    <xf numFmtId="0" fontId="39" fillId="3" borderId="0" xfId="0" applyFont="1" applyFill="1" applyAlignment="1">
      <alignment horizontal="center" vertical="top"/>
    </xf>
    <xf numFmtId="0" fontId="30" fillId="3" borderId="0" xfId="0" applyFont="1" applyFill="1" applyAlignment="1">
      <alignment vertical="center"/>
    </xf>
    <xf numFmtId="0" fontId="8" fillId="3" borderId="0" xfId="0" applyFont="1" applyFill="1" applyAlignment="1">
      <alignment vertical="center" wrapText="1"/>
    </xf>
    <xf numFmtId="166" fontId="6" fillId="12" borderId="0" xfId="1" applyNumberFormat="1" applyFont="1" applyFill="1" applyBorder="1" applyAlignment="1" applyProtection="1">
      <alignment horizontal="center" vertical="center"/>
    </xf>
    <xf numFmtId="166" fontId="6" fillId="14" borderId="0" xfId="1" applyNumberFormat="1" applyFont="1" applyFill="1" applyBorder="1" applyAlignment="1" applyProtection="1">
      <alignment horizontal="center" vertical="center"/>
    </xf>
    <xf numFmtId="0" fontId="1" fillId="3" borderId="0" xfId="0" applyFont="1" applyFill="1" applyAlignment="1">
      <alignment vertical="center" wrapText="1"/>
    </xf>
    <xf numFmtId="0" fontId="6" fillId="15" borderId="0" xfId="0" applyFont="1" applyFill="1" applyAlignment="1">
      <alignment vertical="center"/>
    </xf>
    <xf numFmtId="2" fontId="6" fillId="15" borderId="0" xfId="0" applyNumberFormat="1" applyFont="1" applyFill="1" applyAlignment="1">
      <alignment horizontal="center" vertical="center"/>
    </xf>
    <xf numFmtId="166" fontId="6" fillId="15" borderId="0" xfId="1" applyNumberFormat="1" applyFont="1" applyFill="1" applyBorder="1" applyAlignment="1" applyProtection="1">
      <alignment horizontal="center" vertical="center"/>
    </xf>
    <xf numFmtId="0" fontId="41" fillId="3" borderId="0" xfId="0" applyFont="1" applyFill="1" applyAlignment="1">
      <alignment vertical="center"/>
    </xf>
    <xf numFmtId="166" fontId="5" fillId="8" borderId="0" xfId="1" applyNumberFormat="1" applyFont="1" applyFill="1" applyBorder="1" applyAlignment="1" applyProtection="1">
      <alignment horizontal="center"/>
    </xf>
    <xf numFmtId="0" fontId="41" fillId="3" borderId="0" xfId="0" applyFont="1" applyFill="1" applyAlignment="1">
      <alignment horizontal="left" vertical="center"/>
    </xf>
    <xf numFmtId="0" fontId="12" fillId="10" borderId="0" xfId="0" applyFont="1" applyFill="1" applyAlignment="1">
      <alignment vertical="center"/>
    </xf>
    <xf numFmtId="0" fontId="10" fillId="3" borderId="0" xfId="0" applyFont="1" applyFill="1" applyAlignment="1">
      <alignment horizontal="left" vertical="center"/>
    </xf>
    <xf numFmtId="0" fontId="40" fillId="3" borderId="0" xfId="0" applyFont="1" applyFill="1" applyAlignment="1">
      <alignment vertical="center" wrapText="1"/>
    </xf>
    <xf numFmtId="0" fontId="1" fillId="3" borderId="3" xfId="0" applyFont="1" applyFill="1" applyBorder="1" applyAlignment="1">
      <alignment vertical="center"/>
    </xf>
    <xf numFmtId="166" fontId="6" fillId="16" borderId="0" xfId="1" applyNumberFormat="1" applyFont="1" applyFill="1" applyBorder="1" applyAlignment="1" applyProtection="1">
      <alignment horizontal="center" vertical="center"/>
    </xf>
    <xf numFmtId="0" fontId="11" fillId="17" borderId="4" xfId="0" applyFont="1" applyFill="1" applyBorder="1" applyAlignment="1" applyProtection="1">
      <alignment horizontal="left" vertical="center"/>
      <protection locked="0"/>
    </xf>
    <xf numFmtId="44" fontId="4" fillId="3" borderId="0" xfId="0" applyNumberFormat="1" applyFont="1" applyFill="1" applyAlignment="1">
      <alignment vertical="center"/>
    </xf>
    <xf numFmtId="0" fontId="11" fillId="6" borderId="43" xfId="0" applyFont="1" applyFill="1" applyBorder="1" applyAlignment="1" applyProtection="1">
      <alignment horizontal="center" vertical="center"/>
      <protection locked="0"/>
    </xf>
    <xf numFmtId="0" fontId="11" fillId="6" borderId="42" xfId="0" applyFont="1" applyFill="1" applyBorder="1" applyAlignment="1" applyProtection="1">
      <alignment horizontal="left" vertical="center"/>
      <protection locked="0"/>
    </xf>
    <xf numFmtId="0" fontId="1" fillId="3" borderId="34" xfId="0" applyFont="1" applyFill="1" applyBorder="1" applyAlignment="1">
      <alignment vertical="center" wrapText="1"/>
    </xf>
    <xf numFmtId="0" fontId="4" fillId="3" borderId="33" xfId="0" applyFont="1" applyFill="1" applyBorder="1" applyAlignment="1">
      <alignment vertical="center" wrapText="1"/>
    </xf>
    <xf numFmtId="0" fontId="1" fillId="3" borderId="33" xfId="0" applyFont="1" applyFill="1" applyBorder="1" applyAlignment="1">
      <alignment vertical="center" wrapText="1"/>
    </xf>
    <xf numFmtId="0" fontId="1" fillId="3" borderId="34" xfId="0" applyFont="1" applyFill="1" applyBorder="1" applyAlignment="1">
      <alignment horizontal="center" vertical="center" wrapText="1"/>
    </xf>
    <xf numFmtId="168" fontId="4" fillId="3" borderId="33" xfId="0" applyNumberFormat="1" applyFont="1" applyFill="1" applyBorder="1" applyAlignment="1">
      <alignment horizontal="center" vertical="center" wrapText="1"/>
    </xf>
    <xf numFmtId="169" fontId="4" fillId="3" borderId="33" xfId="0" applyNumberFormat="1" applyFont="1" applyFill="1" applyBorder="1" applyAlignment="1">
      <alignment horizontal="center" vertical="center" wrapText="1"/>
    </xf>
    <xf numFmtId="0" fontId="44" fillId="3" borderId="34" xfId="0" applyFont="1" applyFill="1" applyBorder="1" applyAlignment="1">
      <alignment horizontal="center" vertical="center" wrapText="1"/>
    </xf>
    <xf numFmtId="0" fontId="45" fillId="3" borderId="34" xfId="0" applyFont="1" applyFill="1" applyBorder="1" applyAlignment="1">
      <alignment horizontal="center" vertical="center" wrapText="1"/>
    </xf>
    <xf numFmtId="0" fontId="5" fillId="18" borderId="0" xfId="0" applyFont="1" applyFill="1" applyAlignment="1">
      <alignment vertical="center"/>
    </xf>
    <xf numFmtId="0" fontId="1" fillId="3" borderId="46" xfId="0" applyFont="1" applyFill="1" applyBorder="1" applyAlignment="1">
      <alignment vertical="center"/>
    </xf>
    <xf numFmtId="0" fontId="6" fillId="3" borderId="0" xfId="0" applyFont="1" applyFill="1" applyAlignment="1">
      <alignment horizontal="right" vertical="center"/>
    </xf>
    <xf numFmtId="9" fontId="6" fillId="14" borderId="0" xfId="0" applyNumberFormat="1" applyFont="1" applyFill="1" applyAlignment="1">
      <alignment horizontal="left" vertical="center"/>
    </xf>
    <xf numFmtId="9" fontId="6" fillId="14" borderId="0" xfId="0" applyNumberFormat="1" applyFont="1" applyFill="1" applyAlignment="1">
      <alignment horizontal="center" vertical="center"/>
    </xf>
    <xf numFmtId="0" fontId="6" fillId="12" borderId="0" xfId="0" applyFont="1" applyFill="1" applyAlignment="1">
      <alignment horizontal="left" vertical="center"/>
    </xf>
    <xf numFmtId="0" fontId="6" fillId="16" borderId="0" xfId="0" applyFont="1" applyFill="1" applyAlignment="1">
      <alignment horizontal="left" vertical="center"/>
    </xf>
    <xf numFmtId="0" fontId="2" fillId="3" borderId="0" xfId="0" applyFont="1" applyFill="1" applyAlignment="1">
      <alignment vertical="center"/>
    </xf>
    <xf numFmtId="0" fontId="20" fillId="10" borderId="1" xfId="0" applyFont="1" applyFill="1" applyBorder="1" applyAlignment="1">
      <alignment horizontal="center" vertical="center"/>
    </xf>
    <xf numFmtId="0" fontId="20" fillId="10" borderId="1" xfId="0" applyFont="1" applyFill="1" applyBorder="1" applyAlignment="1">
      <alignment horizontal="center" vertical="center" wrapText="1"/>
    </xf>
    <xf numFmtId="0" fontId="2" fillId="0" borderId="0" xfId="0" applyFont="1" applyAlignment="1">
      <alignment vertical="center"/>
    </xf>
    <xf numFmtId="0" fontId="6" fillId="2" borderId="2" xfId="0" applyFont="1" applyFill="1" applyBorder="1" applyAlignment="1">
      <alignment vertical="center" wrapText="1"/>
    </xf>
    <xf numFmtId="0" fontId="1" fillId="3" borderId="2" xfId="0" applyFont="1" applyFill="1" applyBorder="1" applyAlignment="1">
      <alignment vertical="center" wrapText="1"/>
    </xf>
    <xf numFmtId="44" fontId="2" fillId="3" borderId="0" xfId="0" applyNumberFormat="1" applyFont="1" applyFill="1" applyAlignment="1">
      <alignment vertical="center"/>
    </xf>
    <xf numFmtId="0" fontId="6" fillId="5" borderId="2" xfId="0" applyFont="1" applyFill="1" applyBorder="1" applyAlignment="1">
      <alignment vertical="center" wrapText="1"/>
    </xf>
    <xf numFmtId="6" fontId="7" fillId="5" borderId="2" xfId="2" applyNumberFormat="1" applyFont="1" applyFill="1" applyBorder="1" applyAlignment="1" applyProtection="1">
      <alignment horizontal="center" vertical="center"/>
    </xf>
    <xf numFmtId="165" fontId="7" fillId="3" borderId="0" xfId="0" applyNumberFormat="1" applyFont="1" applyFill="1" applyAlignment="1">
      <alignment vertical="center"/>
    </xf>
    <xf numFmtId="0" fontId="1" fillId="9" borderId="2" xfId="0" applyFont="1" applyFill="1" applyBorder="1" applyAlignment="1" applyProtection="1">
      <alignment horizontal="center" vertical="center"/>
      <protection hidden="1"/>
    </xf>
    <xf numFmtId="0" fontId="1" fillId="2" borderId="2" xfId="0" applyFont="1" applyFill="1" applyBorder="1" applyAlignment="1" applyProtection="1">
      <alignment horizontal="center" vertical="center"/>
      <protection hidden="1"/>
    </xf>
    <xf numFmtId="0" fontId="30" fillId="2" borderId="0" xfId="0" applyFont="1" applyFill="1" applyAlignment="1" applyProtection="1">
      <alignment horizontal="center" vertical="center"/>
      <protection hidden="1"/>
    </xf>
    <xf numFmtId="0" fontId="14" fillId="3" borderId="2" xfId="0" applyFont="1" applyFill="1" applyBorder="1" applyAlignment="1" applyProtection="1">
      <alignment horizontal="center" vertical="center" wrapText="1"/>
      <protection hidden="1"/>
    </xf>
    <xf numFmtId="4" fontId="14" fillId="3" borderId="33" xfId="0" applyNumberFormat="1" applyFont="1" applyFill="1" applyBorder="1" applyAlignment="1" applyProtection="1">
      <alignment horizontal="center" vertical="center"/>
      <protection hidden="1"/>
    </xf>
    <xf numFmtId="1" fontId="1" fillId="3" borderId="0" xfId="0" applyNumberFormat="1" applyFont="1" applyFill="1" applyAlignment="1" applyProtection="1">
      <alignment vertical="center"/>
      <protection hidden="1"/>
    </xf>
    <xf numFmtId="164" fontId="5" fillId="8" borderId="0" xfId="0" applyNumberFormat="1" applyFont="1" applyFill="1" applyAlignment="1" applyProtection="1">
      <alignment horizontal="center" vertical="top"/>
      <protection hidden="1"/>
    </xf>
    <xf numFmtId="2" fontId="5" fillId="8" borderId="0" xfId="0" applyNumberFormat="1" applyFont="1" applyFill="1" applyAlignment="1" applyProtection="1">
      <alignment horizontal="center" vertical="top"/>
      <protection hidden="1"/>
    </xf>
    <xf numFmtId="9" fontId="5" fillId="8" borderId="0" xfId="1" applyFont="1" applyFill="1" applyBorder="1" applyAlignment="1" applyProtection="1">
      <alignment horizontal="center" vertical="top"/>
      <protection hidden="1"/>
    </xf>
    <xf numFmtId="6" fontId="21" fillId="3" borderId="2" xfId="2" applyNumberFormat="1" applyFont="1" applyFill="1" applyBorder="1" applyAlignment="1" applyProtection="1">
      <alignment horizontal="center" vertical="center"/>
      <protection hidden="1"/>
    </xf>
    <xf numFmtId="2" fontId="1" fillId="3" borderId="0" xfId="0" applyNumberFormat="1" applyFont="1" applyFill="1" applyAlignment="1">
      <alignment horizontal="center" vertical="center"/>
    </xf>
    <xf numFmtId="2" fontId="5" fillId="18" borderId="0" xfId="0" applyNumberFormat="1" applyFont="1" applyFill="1" applyAlignment="1" applyProtection="1">
      <alignment horizontal="center"/>
      <protection hidden="1"/>
    </xf>
    <xf numFmtId="0" fontId="5" fillId="18" borderId="0" xfId="0" applyFont="1" applyFill="1"/>
    <xf numFmtId="2" fontId="5" fillId="18" borderId="0" xfId="0" applyNumberFormat="1" applyFont="1" applyFill="1" applyAlignment="1" applyProtection="1">
      <alignment horizontal="center" vertical="top"/>
      <protection hidden="1"/>
    </xf>
    <xf numFmtId="0" fontId="11" fillId="2" borderId="42" xfId="0" applyFont="1" applyFill="1" applyBorder="1" applyAlignment="1" applyProtection="1">
      <alignment horizontal="center" vertical="center"/>
      <protection hidden="1"/>
    </xf>
    <xf numFmtId="0" fontId="37" fillId="2" borderId="2" xfId="0" applyFont="1" applyFill="1" applyBorder="1" applyAlignment="1" applyProtection="1">
      <alignment horizontal="center" vertical="center"/>
      <protection hidden="1"/>
    </xf>
    <xf numFmtId="164" fontId="11" fillId="5" borderId="41" xfId="0" applyNumberFormat="1" applyFont="1" applyFill="1" applyBorder="1" applyAlignment="1" applyProtection="1">
      <alignment horizontal="center" vertical="center"/>
      <protection hidden="1"/>
    </xf>
    <xf numFmtId="6" fontId="11" fillId="2" borderId="1" xfId="0" applyNumberFormat="1" applyFont="1" applyFill="1" applyBorder="1" applyAlignment="1" applyProtection="1">
      <alignment horizontal="center" vertical="center"/>
      <protection hidden="1"/>
    </xf>
    <xf numFmtId="6" fontId="11" fillId="2" borderId="9" xfId="0" applyNumberFormat="1" applyFont="1" applyFill="1" applyBorder="1" applyAlignment="1" applyProtection="1">
      <alignment horizontal="center" vertical="center"/>
      <protection hidden="1"/>
    </xf>
    <xf numFmtId="6" fontId="11" fillId="5" borderId="8" xfId="0" applyNumberFormat="1" applyFont="1" applyFill="1" applyBorder="1" applyAlignment="1" applyProtection="1">
      <alignment horizontal="center" vertical="center"/>
      <protection hidden="1"/>
    </xf>
    <xf numFmtId="0" fontId="10" fillId="5" borderId="2" xfId="0" applyFont="1" applyFill="1" applyBorder="1" applyAlignment="1" applyProtection="1">
      <alignment horizontal="center" vertical="center"/>
      <protection hidden="1"/>
    </xf>
    <xf numFmtId="0" fontId="11" fillId="5" borderId="2" xfId="0" applyFont="1" applyFill="1" applyBorder="1" applyAlignment="1" applyProtection="1">
      <alignment horizontal="center" vertical="center"/>
      <protection hidden="1"/>
    </xf>
    <xf numFmtId="2" fontId="11" fillId="5" borderId="2" xfId="0" applyNumberFormat="1" applyFont="1" applyFill="1" applyBorder="1" applyAlignment="1" applyProtection="1">
      <alignment horizontal="center" vertical="center"/>
      <protection hidden="1"/>
    </xf>
    <xf numFmtId="0" fontId="10" fillId="5" borderId="26" xfId="0" applyFont="1" applyFill="1" applyBorder="1" applyAlignment="1" applyProtection="1">
      <alignment horizontal="center" vertical="center"/>
      <protection hidden="1"/>
    </xf>
    <xf numFmtId="164" fontId="10" fillId="5" borderId="43" xfId="0" applyNumberFormat="1" applyFont="1" applyFill="1" applyBorder="1" applyAlignment="1" applyProtection="1">
      <alignment horizontal="center" vertical="center"/>
      <protection hidden="1"/>
    </xf>
    <xf numFmtId="167" fontId="11" fillId="5" borderId="41" xfId="0" applyNumberFormat="1" applyFont="1" applyFill="1" applyBorder="1" applyAlignment="1" applyProtection="1">
      <alignment horizontal="center" vertical="center"/>
      <protection hidden="1"/>
    </xf>
    <xf numFmtId="6" fontId="10" fillId="5" borderId="2" xfId="2" applyNumberFormat="1" applyFont="1" applyFill="1" applyBorder="1" applyAlignment="1" applyProtection="1">
      <alignment horizontal="center" vertical="center"/>
      <protection hidden="1"/>
    </xf>
    <xf numFmtId="167" fontId="11" fillId="5" borderId="42" xfId="0" applyNumberFormat="1" applyFont="1" applyFill="1" applyBorder="1" applyAlignment="1" applyProtection="1">
      <alignment horizontal="center" vertical="center"/>
      <protection hidden="1"/>
    </xf>
    <xf numFmtId="0" fontId="11" fillId="5" borderId="43" xfId="0" applyFont="1" applyFill="1" applyBorder="1" applyAlignment="1" applyProtection="1">
      <alignment horizontal="center" vertical="center"/>
      <protection hidden="1"/>
    </xf>
    <xf numFmtId="0" fontId="4" fillId="3" borderId="0" xfId="0" applyFont="1" applyFill="1" applyAlignment="1" applyProtection="1">
      <alignment horizontal="center" vertical="center"/>
      <protection hidden="1"/>
    </xf>
    <xf numFmtId="0" fontId="17" fillId="3" borderId="0" xfId="0" applyFont="1" applyFill="1" applyAlignment="1" applyProtection="1">
      <alignment horizontal="left" vertical="center"/>
      <protection hidden="1"/>
    </xf>
    <xf numFmtId="0" fontId="4" fillId="3" borderId="0" xfId="0" applyFont="1" applyFill="1" applyAlignment="1" applyProtection="1">
      <alignment vertical="center"/>
      <protection hidden="1"/>
    </xf>
    <xf numFmtId="0" fontId="4" fillId="0" borderId="0" xfId="0" applyFont="1" applyAlignment="1" applyProtection="1">
      <alignment vertical="center"/>
      <protection hidden="1"/>
    </xf>
    <xf numFmtId="0" fontId="10" fillId="3" borderId="0" xfId="0" applyFont="1" applyFill="1" applyAlignment="1" applyProtection="1">
      <alignment horizontal="left" vertical="center" wrapText="1"/>
      <protection hidden="1"/>
    </xf>
    <xf numFmtId="0" fontId="5" fillId="3" borderId="0" xfId="0" applyFont="1" applyFill="1" applyAlignment="1" applyProtection="1">
      <alignment vertical="center" wrapText="1"/>
      <protection hidden="1"/>
    </xf>
    <xf numFmtId="0" fontId="19" fillId="3" borderId="1" xfId="0" applyFont="1" applyFill="1" applyBorder="1" applyAlignment="1" applyProtection="1">
      <alignment horizontal="left" vertical="center" wrapText="1"/>
      <protection hidden="1"/>
    </xf>
    <xf numFmtId="0" fontId="19" fillId="3" borderId="0" xfId="0" applyFont="1" applyFill="1" applyAlignment="1" applyProtection="1">
      <alignment horizontal="left" vertical="center" wrapText="1"/>
      <protection hidden="1"/>
    </xf>
    <xf numFmtId="0" fontId="4" fillId="0" borderId="0" xfId="0" applyFont="1" applyAlignment="1" applyProtection="1">
      <alignment horizontal="center" vertical="center"/>
      <protection hidden="1"/>
    </xf>
    <xf numFmtId="0" fontId="5" fillId="10" borderId="20" xfId="0" applyFont="1" applyFill="1" applyBorder="1" applyAlignment="1" applyProtection="1">
      <alignment horizontal="left" vertical="center"/>
      <protection hidden="1"/>
    </xf>
    <xf numFmtId="0" fontId="5" fillId="10" borderId="10" xfId="0" applyFont="1" applyFill="1" applyBorder="1" applyAlignment="1" applyProtection="1">
      <alignment horizontal="left" vertical="center"/>
      <protection hidden="1"/>
    </xf>
    <xf numFmtId="0" fontId="5" fillId="10" borderId="18" xfId="0" applyFont="1" applyFill="1" applyBorder="1" applyAlignment="1" applyProtection="1">
      <alignment horizontal="left" vertical="center"/>
      <protection hidden="1"/>
    </xf>
    <xf numFmtId="0" fontId="5" fillId="10" borderId="35" xfId="0" applyFont="1" applyFill="1" applyBorder="1" applyAlignment="1" applyProtection="1">
      <alignment horizontal="left" vertical="center"/>
      <protection hidden="1"/>
    </xf>
    <xf numFmtId="0" fontId="5" fillId="10" borderId="10" xfId="0" applyFont="1" applyFill="1" applyBorder="1" applyAlignment="1" applyProtection="1">
      <alignment horizontal="left" vertical="center" wrapText="1"/>
      <protection hidden="1"/>
    </xf>
    <xf numFmtId="0" fontId="5" fillId="10" borderId="18" xfId="0" applyFont="1" applyFill="1" applyBorder="1" applyAlignment="1" applyProtection="1">
      <alignment horizontal="left" vertical="center" wrapText="1"/>
      <protection hidden="1"/>
    </xf>
    <xf numFmtId="0" fontId="19" fillId="3" borderId="0" xfId="0" applyFont="1" applyFill="1" applyAlignment="1" applyProtection="1">
      <alignment horizontal="left" vertical="center"/>
      <protection hidden="1"/>
    </xf>
    <xf numFmtId="0" fontId="1" fillId="3" borderId="0" xfId="0" applyFont="1" applyFill="1" applyAlignment="1" applyProtection="1">
      <alignment horizontal="center" vertical="center"/>
      <protection hidden="1"/>
    </xf>
    <xf numFmtId="0" fontId="36" fillId="2" borderId="14" xfId="0" applyFont="1" applyFill="1" applyBorder="1" applyAlignment="1" applyProtection="1">
      <alignment horizontal="center" vertical="center" wrapText="1"/>
      <protection hidden="1"/>
    </xf>
    <xf numFmtId="0" fontId="4" fillId="3" borderId="37" xfId="0" applyFont="1" applyFill="1" applyBorder="1" applyAlignment="1" applyProtection="1">
      <alignment vertical="center"/>
      <protection hidden="1"/>
    </xf>
    <xf numFmtId="0" fontId="18" fillId="10" borderId="15" xfId="0" applyFont="1" applyFill="1" applyBorder="1" applyAlignment="1" applyProtection="1">
      <alignment horizontal="center" vertical="center" wrapText="1"/>
      <protection hidden="1"/>
    </xf>
    <xf numFmtId="0" fontId="18" fillId="10" borderId="14" xfId="0" applyFont="1" applyFill="1" applyBorder="1" applyAlignment="1" applyProtection="1">
      <alignment horizontal="center" vertical="center" wrapText="1"/>
      <protection hidden="1"/>
    </xf>
    <xf numFmtId="0" fontId="9" fillId="10" borderId="24" xfId="0" applyFont="1" applyFill="1" applyBorder="1" applyAlignment="1" applyProtection="1">
      <alignment horizontal="center" vertical="center" wrapText="1"/>
      <protection hidden="1"/>
    </xf>
    <xf numFmtId="0" fontId="9" fillId="10" borderId="25" xfId="0" applyFont="1" applyFill="1" applyBorder="1" applyAlignment="1" applyProtection="1">
      <alignment horizontal="center" vertical="center" wrapText="1"/>
      <protection hidden="1"/>
    </xf>
    <xf numFmtId="0" fontId="9" fillId="10" borderId="6" xfId="0" applyFont="1" applyFill="1" applyBorder="1" applyAlignment="1" applyProtection="1">
      <alignment horizontal="center" vertical="center" wrapText="1"/>
      <protection hidden="1"/>
    </xf>
    <xf numFmtId="0" fontId="30" fillId="3" borderId="0" xfId="0" applyFont="1" applyFill="1" applyAlignment="1" applyProtection="1">
      <alignment horizontal="center" vertical="center"/>
      <protection hidden="1"/>
    </xf>
    <xf numFmtId="0" fontId="15" fillId="3" borderId="3" xfId="0" applyFont="1" applyFill="1" applyBorder="1" applyAlignment="1" applyProtection="1">
      <alignment vertical="center" wrapText="1"/>
      <protection hidden="1"/>
    </xf>
    <xf numFmtId="0" fontId="15" fillId="3" borderId="0" xfId="0" applyFont="1" applyFill="1" applyAlignment="1" applyProtection="1">
      <alignment horizontal="left" vertical="center" wrapText="1"/>
      <protection hidden="1"/>
    </xf>
    <xf numFmtId="0" fontId="11" fillId="3" borderId="0" xfId="0" applyFont="1" applyFill="1" applyAlignment="1" applyProtection="1">
      <alignment vertical="center" wrapText="1"/>
      <protection hidden="1"/>
    </xf>
    <xf numFmtId="0" fontId="5" fillId="10" borderId="7" xfId="0" applyFont="1" applyFill="1" applyBorder="1" applyAlignment="1" applyProtection="1">
      <alignment horizontal="center" vertical="center" wrapText="1"/>
      <protection hidden="1"/>
    </xf>
    <xf numFmtId="0" fontId="5" fillId="3" borderId="7" xfId="0" applyFont="1" applyFill="1" applyBorder="1" applyAlignment="1" applyProtection="1">
      <alignment horizontal="center" vertical="center" wrapText="1"/>
      <protection hidden="1"/>
    </xf>
    <xf numFmtId="0" fontId="8" fillId="3" borderId="0" xfId="0" applyFont="1" applyFill="1" applyAlignment="1" applyProtection="1">
      <alignment vertical="center" wrapText="1"/>
      <protection hidden="1"/>
    </xf>
    <xf numFmtId="164" fontId="11" fillId="6" borderId="43" xfId="0" applyNumberFormat="1" applyFont="1" applyFill="1" applyBorder="1" applyAlignment="1" applyProtection="1">
      <alignment horizontal="center" vertical="center"/>
      <protection locked="0"/>
    </xf>
    <xf numFmtId="0" fontId="33" fillId="8" borderId="1" xfId="0" applyFont="1" applyFill="1" applyBorder="1" applyAlignment="1" applyProtection="1">
      <alignment horizontal="center" vertical="center" wrapText="1"/>
      <protection hidden="1"/>
    </xf>
    <xf numFmtId="0" fontId="6" fillId="3" borderId="0" xfId="0" applyFont="1" applyFill="1" applyAlignment="1" applyProtection="1">
      <alignment vertical="center"/>
      <protection hidden="1"/>
    </xf>
    <xf numFmtId="49" fontId="11" fillId="6" borderId="2" xfId="0" applyNumberFormat="1" applyFont="1" applyFill="1" applyBorder="1" applyAlignment="1" applyProtection="1">
      <alignment horizontal="center" vertical="center"/>
      <protection locked="0"/>
    </xf>
    <xf numFmtId="0" fontId="1" fillId="3" borderId="0" xfId="0" applyFont="1" applyFill="1" applyAlignment="1" applyProtection="1">
      <alignment horizontal="left" vertical="center" wrapText="1"/>
      <protection hidden="1"/>
    </xf>
    <xf numFmtId="0" fontId="41" fillId="3" borderId="0" xfId="0" applyFont="1" applyFill="1" applyAlignment="1" applyProtection="1">
      <alignment horizontal="center" vertical="center" wrapText="1"/>
      <protection hidden="1"/>
    </xf>
    <xf numFmtId="0" fontId="1" fillId="3" borderId="2" xfId="0" applyFont="1" applyFill="1" applyBorder="1" applyAlignment="1" applyProtection="1">
      <alignment horizontal="left" vertical="center"/>
      <protection hidden="1"/>
    </xf>
    <xf numFmtId="0" fontId="30" fillId="3" borderId="0" xfId="0" applyFont="1" applyFill="1" applyAlignment="1" applyProtection="1">
      <alignment vertical="center"/>
      <protection hidden="1"/>
    </xf>
    <xf numFmtId="0" fontId="1" fillId="3" borderId="0" xfId="0" applyFont="1" applyFill="1" applyAlignment="1" applyProtection="1">
      <alignment horizontal="left" vertical="center"/>
      <protection hidden="1"/>
    </xf>
    <xf numFmtId="0" fontId="1" fillId="6" borderId="2" xfId="0" applyFont="1" applyFill="1" applyBorder="1" applyAlignment="1" applyProtection="1">
      <alignment horizontal="center" vertical="center"/>
      <protection locked="0" hidden="1"/>
    </xf>
    <xf numFmtId="0" fontId="6" fillId="3" borderId="0" xfId="0" applyFont="1" applyFill="1" applyAlignment="1" applyProtection="1">
      <alignment horizontal="center" vertical="center" wrapText="1"/>
      <protection hidden="1"/>
    </xf>
    <xf numFmtId="6" fontId="11" fillId="2" borderId="47" xfId="0" applyNumberFormat="1" applyFont="1" applyFill="1" applyBorder="1" applyAlignment="1" applyProtection="1">
      <alignment horizontal="center" vertical="center"/>
      <protection hidden="1"/>
    </xf>
    <xf numFmtId="6" fontId="11" fillId="2" borderId="48" xfId="0" applyNumberFormat="1" applyFont="1" applyFill="1" applyBorder="1" applyAlignment="1" applyProtection="1">
      <alignment horizontal="center" vertical="center"/>
      <protection hidden="1"/>
    </xf>
    <xf numFmtId="6" fontId="10" fillId="5" borderId="47" xfId="2" applyNumberFormat="1" applyFont="1" applyFill="1" applyBorder="1" applyAlignment="1" applyProtection="1">
      <alignment horizontal="center" vertical="center"/>
      <protection hidden="1"/>
    </xf>
    <xf numFmtId="6" fontId="7" fillId="2" borderId="2" xfId="2" applyNumberFormat="1" applyFont="1" applyFill="1" applyBorder="1" applyAlignment="1" applyProtection="1">
      <alignment horizontal="center" vertical="center"/>
      <protection hidden="1"/>
    </xf>
    <xf numFmtId="8" fontId="4" fillId="3" borderId="0" xfId="0" applyNumberFormat="1" applyFont="1" applyFill="1" applyAlignment="1">
      <alignment vertical="center"/>
    </xf>
    <xf numFmtId="0" fontId="11" fillId="19" borderId="43" xfId="0" applyFont="1" applyFill="1" applyBorder="1" applyAlignment="1" applyProtection="1">
      <alignment horizontal="center" vertical="center"/>
      <protection locked="0"/>
    </xf>
    <xf numFmtId="167" fontId="11" fillId="19" borderId="45" xfId="0" applyNumberFormat="1" applyFont="1" applyFill="1" applyBorder="1" applyAlignment="1" applyProtection="1">
      <alignment horizontal="center" vertical="center"/>
      <protection locked="0"/>
    </xf>
    <xf numFmtId="0" fontId="11" fillId="19" borderId="44" xfId="0" applyFont="1" applyFill="1" applyBorder="1" applyAlignment="1" applyProtection="1">
      <alignment horizontal="center" vertical="center"/>
      <protection locked="0"/>
    </xf>
    <xf numFmtId="8" fontId="11" fillId="19" borderId="41" xfId="0" applyNumberFormat="1" applyFont="1" applyFill="1" applyBorder="1" applyAlignment="1" applyProtection="1">
      <alignment horizontal="center" vertical="center"/>
      <protection locked="0"/>
    </xf>
    <xf numFmtId="8" fontId="11" fillId="19" borderId="27" xfId="0" applyNumberFormat="1" applyFont="1" applyFill="1" applyBorder="1" applyAlignment="1" applyProtection="1">
      <alignment horizontal="center" vertical="center"/>
      <protection locked="0"/>
    </xf>
    <xf numFmtId="0" fontId="10" fillId="3" borderId="1" xfId="0" applyFont="1" applyFill="1" applyBorder="1" applyAlignment="1">
      <alignment horizontal="left" vertical="center"/>
    </xf>
    <xf numFmtId="167" fontId="11" fillId="19" borderId="41" xfId="0" applyNumberFormat="1" applyFont="1" applyFill="1" applyBorder="1" applyAlignment="1" applyProtection="1">
      <alignment horizontal="center" vertical="center"/>
      <protection locked="0"/>
    </xf>
    <xf numFmtId="0" fontId="4" fillId="2" borderId="0" xfId="0" applyFont="1" applyFill="1" applyAlignment="1">
      <alignment vertical="center"/>
    </xf>
    <xf numFmtId="0" fontId="4" fillId="14" borderId="0" xfId="0" applyFont="1" applyFill="1" applyAlignment="1">
      <alignment vertical="center"/>
    </xf>
    <xf numFmtId="0" fontId="4" fillId="15" borderId="0" xfId="0" applyFont="1" applyFill="1" applyAlignment="1">
      <alignment vertical="center"/>
    </xf>
    <xf numFmtId="0" fontId="4" fillId="12" borderId="0" xfId="0" applyFont="1" applyFill="1" applyAlignment="1">
      <alignment vertical="center"/>
    </xf>
    <xf numFmtId="0" fontId="4" fillId="16" borderId="0" xfId="0" applyFont="1" applyFill="1" applyAlignment="1">
      <alignment vertical="center"/>
    </xf>
    <xf numFmtId="0" fontId="21" fillId="3" borderId="33" xfId="0" applyFont="1" applyFill="1" applyBorder="1" applyAlignment="1">
      <alignment vertical="center"/>
    </xf>
    <xf numFmtId="0" fontId="21" fillId="3" borderId="33" xfId="0" applyFont="1" applyFill="1" applyBorder="1" applyAlignment="1">
      <alignment horizontal="left" vertical="center"/>
    </xf>
    <xf numFmtId="0" fontId="21" fillId="3" borderId="33" xfId="0" applyFont="1" applyFill="1" applyBorder="1" applyAlignment="1" applyProtection="1">
      <alignment vertical="center"/>
      <protection hidden="1"/>
    </xf>
    <xf numFmtId="164" fontId="5" fillId="3" borderId="0" xfId="0" applyNumberFormat="1" applyFont="1" applyFill="1" applyAlignment="1" applyProtection="1">
      <alignment horizontal="center" vertical="top"/>
      <protection hidden="1"/>
    </xf>
    <xf numFmtId="2" fontId="5" fillId="3" borderId="0" xfId="0" applyNumberFormat="1" applyFont="1" applyFill="1" applyAlignment="1" applyProtection="1">
      <alignment horizontal="center" vertical="top"/>
      <protection hidden="1"/>
    </xf>
    <xf numFmtId="9" fontId="5" fillId="3" borderId="0" xfId="1" applyFont="1" applyFill="1" applyBorder="1" applyAlignment="1" applyProtection="1">
      <alignment horizontal="center" vertical="top"/>
      <protection hidden="1"/>
    </xf>
    <xf numFmtId="164" fontId="19" fillId="3" borderId="0" xfId="0" applyNumberFormat="1" applyFont="1" applyFill="1" applyAlignment="1">
      <alignment horizontal="left" vertical="center"/>
    </xf>
    <xf numFmtId="0" fontId="50" fillId="3" borderId="1" xfId="3" applyFont="1" applyFill="1" applyBorder="1" applyAlignment="1">
      <alignment vertical="top" wrapText="1"/>
    </xf>
    <xf numFmtId="0" fontId="51" fillId="10" borderId="0" xfId="0" applyFont="1" applyFill="1" applyAlignment="1" applyProtection="1">
      <alignment horizontal="right" vertical="center"/>
      <protection hidden="1"/>
    </xf>
    <xf numFmtId="0" fontId="51" fillId="3" borderId="0" xfId="0" applyFont="1" applyFill="1" applyAlignment="1" applyProtection="1">
      <alignment vertical="center" wrapText="1"/>
      <protection hidden="1"/>
    </xf>
    <xf numFmtId="0" fontId="52" fillId="3" borderId="0" xfId="0" applyFont="1" applyFill="1" applyAlignment="1" applyProtection="1">
      <alignment vertical="center" wrapText="1"/>
      <protection hidden="1"/>
    </xf>
    <xf numFmtId="0" fontId="53" fillId="10" borderId="20" xfId="0" applyFont="1" applyFill="1" applyBorder="1" applyAlignment="1" applyProtection="1">
      <alignment vertical="center"/>
      <protection hidden="1"/>
    </xf>
    <xf numFmtId="0" fontId="53" fillId="10" borderId="10" xfId="0" applyFont="1" applyFill="1" applyBorder="1" applyAlignment="1" applyProtection="1">
      <alignment vertical="center"/>
      <protection hidden="1"/>
    </xf>
    <xf numFmtId="0" fontId="53" fillId="3" borderId="0" xfId="0" applyFont="1" applyFill="1" applyAlignment="1" applyProtection="1">
      <alignment vertical="center"/>
      <protection hidden="1"/>
    </xf>
    <xf numFmtId="0" fontId="53" fillId="0" borderId="0" xfId="0" applyFont="1" applyAlignment="1" applyProtection="1">
      <alignment vertical="center"/>
      <protection hidden="1"/>
    </xf>
    <xf numFmtId="0" fontId="53" fillId="10" borderId="18" xfId="0" applyFont="1" applyFill="1" applyBorder="1" applyAlignment="1" applyProtection="1">
      <alignment horizontal="right" vertical="center"/>
      <protection hidden="1"/>
    </xf>
    <xf numFmtId="0" fontId="52" fillId="3" borderId="0" xfId="0" applyFont="1" applyFill="1" applyAlignment="1" applyProtection="1">
      <alignment horizontal="right" vertical="center" wrapText="1"/>
      <protection hidden="1"/>
    </xf>
    <xf numFmtId="0" fontId="53" fillId="10" borderId="35" xfId="0" applyFont="1" applyFill="1" applyBorder="1" applyAlignment="1" applyProtection="1">
      <alignment horizontal="right" vertical="center"/>
      <protection hidden="1"/>
    </xf>
    <xf numFmtId="0" fontId="53" fillId="10" borderId="10" xfId="0" applyFont="1" applyFill="1" applyBorder="1" applyAlignment="1" applyProtection="1">
      <alignment horizontal="right" vertical="center"/>
      <protection hidden="1"/>
    </xf>
    <xf numFmtId="0" fontId="53" fillId="10" borderId="10" xfId="0" applyFont="1" applyFill="1" applyBorder="1" applyAlignment="1" applyProtection="1">
      <alignment horizontal="right" vertical="center" wrapText="1"/>
      <protection hidden="1"/>
    </xf>
    <xf numFmtId="0" fontId="53" fillId="10" borderId="18" xfId="0" applyFont="1" applyFill="1" applyBorder="1" applyAlignment="1" applyProtection="1">
      <alignment horizontal="right" vertical="center" wrapText="1"/>
      <protection hidden="1"/>
    </xf>
    <xf numFmtId="0" fontId="43" fillId="10" borderId="0" xfId="0" applyFont="1" applyFill="1" applyAlignment="1" applyProtection="1">
      <alignment horizontal="right" vertical="center"/>
      <protection hidden="1"/>
    </xf>
    <xf numFmtId="0" fontId="19" fillId="3" borderId="49" xfId="0" applyFont="1" applyFill="1" applyBorder="1" applyAlignment="1" applyProtection="1">
      <alignment horizontal="left" vertical="center" wrapText="1"/>
      <protection hidden="1"/>
    </xf>
    <xf numFmtId="0" fontId="53" fillId="10" borderId="50" xfId="0" applyFont="1" applyFill="1" applyBorder="1" applyAlignment="1" applyProtection="1">
      <alignment horizontal="right" vertical="center"/>
      <protection hidden="1"/>
    </xf>
    <xf numFmtId="0" fontId="53" fillId="3" borderId="49" xfId="0" applyFont="1" applyFill="1" applyBorder="1" applyAlignment="1" applyProtection="1">
      <alignment horizontal="right" vertical="center"/>
      <protection hidden="1"/>
    </xf>
    <xf numFmtId="0" fontId="4" fillId="3" borderId="49" xfId="0" applyFont="1" applyFill="1" applyBorder="1" applyAlignment="1" applyProtection="1">
      <alignment horizontal="right" vertical="center"/>
      <protection hidden="1"/>
    </xf>
    <xf numFmtId="0" fontId="11" fillId="6" borderId="2" xfId="0" applyFont="1" applyFill="1" applyBorder="1" applyAlignment="1" applyProtection="1">
      <alignment horizontal="left" vertical="center" wrapText="1"/>
      <protection locked="0"/>
    </xf>
    <xf numFmtId="0" fontId="55" fillId="3" borderId="0" xfId="0" applyFont="1" applyFill="1" applyAlignment="1" applyProtection="1">
      <alignment horizontal="left" vertical="center"/>
      <protection hidden="1"/>
    </xf>
    <xf numFmtId="0" fontId="10" fillId="3" borderId="3" xfId="0" applyFont="1" applyFill="1" applyBorder="1" applyAlignment="1" applyProtection="1">
      <alignment horizontal="left" vertical="center" wrapText="1"/>
      <protection hidden="1"/>
    </xf>
    <xf numFmtId="0" fontId="51" fillId="3" borderId="3" xfId="0" applyFont="1" applyFill="1" applyBorder="1" applyAlignment="1" applyProtection="1">
      <alignment vertical="center" wrapText="1"/>
      <protection hidden="1"/>
    </xf>
    <xf numFmtId="0" fontId="5" fillId="10" borderId="0" xfId="0" applyFont="1" applyFill="1" applyAlignment="1" applyProtection="1">
      <alignment horizontal="center" vertical="center" wrapText="1"/>
      <protection hidden="1"/>
    </xf>
    <xf numFmtId="0" fontId="20" fillId="11" borderId="0" xfId="0" applyFont="1" applyFill="1" applyAlignment="1" applyProtection="1">
      <alignment vertical="center"/>
      <protection hidden="1"/>
    </xf>
    <xf numFmtId="8" fontId="11" fillId="19" borderId="43" xfId="0" applyNumberFormat="1" applyFont="1" applyFill="1" applyBorder="1" applyAlignment="1" applyProtection="1">
      <alignment horizontal="center" vertical="center"/>
      <protection locked="0"/>
    </xf>
    <xf numFmtId="164" fontId="11" fillId="6" borderId="42" xfId="0" applyNumberFormat="1" applyFont="1" applyFill="1" applyBorder="1" applyAlignment="1" applyProtection="1">
      <alignment horizontal="center" vertical="center"/>
      <protection locked="0"/>
    </xf>
    <xf numFmtId="164" fontId="11" fillId="6" borderId="47" xfId="0" applyNumberFormat="1" applyFont="1" applyFill="1" applyBorder="1" applyAlignment="1" applyProtection="1">
      <alignment horizontal="center" vertical="center"/>
      <protection locked="0"/>
    </xf>
    <xf numFmtId="8" fontId="11" fillId="19" borderId="47" xfId="0" applyNumberFormat="1" applyFont="1" applyFill="1" applyBorder="1" applyAlignment="1" applyProtection="1">
      <alignment horizontal="center" vertical="center"/>
      <protection locked="0"/>
    </xf>
    <xf numFmtId="0" fontId="4" fillId="3" borderId="0" xfId="0" applyFont="1" applyFill="1" applyAlignment="1">
      <alignment horizontal="center" vertical="center"/>
    </xf>
    <xf numFmtId="0" fontId="55" fillId="3" borderId="0" xfId="0" applyFont="1" applyFill="1" applyAlignment="1">
      <alignment horizontal="left" vertical="center"/>
    </xf>
    <xf numFmtId="0" fontId="17" fillId="3" borderId="0" xfId="0" applyFont="1" applyFill="1" applyAlignment="1">
      <alignment horizontal="left" vertical="center"/>
    </xf>
    <xf numFmtId="0" fontId="10" fillId="3" borderId="0" xfId="0" applyFont="1" applyFill="1" applyAlignment="1">
      <alignment horizontal="left" vertical="center" wrapText="1"/>
    </xf>
    <xf numFmtId="0" fontId="10" fillId="3" borderId="3" xfId="0" applyFont="1" applyFill="1" applyBorder="1" applyAlignment="1">
      <alignment horizontal="left" vertical="center" wrapText="1"/>
    </xf>
    <xf numFmtId="0" fontId="5" fillId="3" borderId="0" xfId="0" applyFont="1" applyFill="1" applyAlignment="1">
      <alignment vertical="center" wrapText="1"/>
    </xf>
    <xf numFmtId="0" fontId="19" fillId="3" borderId="0" xfId="0" applyFont="1" applyFill="1" applyAlignment="1">
      <alignment horizontal="left" vertical="center" wrapText="1"/>
    </xf>
    <xf numFmtId="0" fontId="19" fillId="3" borderId="0" xfId="0" applyFont="1" applyFill="1" applyAlignment="1">
      <alignment horizontal="left" vertical="center"/>
    </xf>
    <xf numFmtId="0" fontId="5" fillId="10" borderId="14" xfId="0" applyFont="1" applyFill="1" applyBorder="1" applyAlignment="1">
      <alignment horizontal="center" vertical="center" wrapText="1"/>
    </xf>
    <xf numFmtId="0" fontId="36" fillId="2" borderId="14" xfId="0" applyFont="1" applyFill="1" applyBorder="1" applyAlignment="1">
      <alignment horizontal="center" vertical="center" wrapText="1"/>
    </xf>
    <xf numFmtId="0" fontId="5" fillId="10" borderId="15" xfId="0" applyFont="1" applyFill="1" applyBorder="1" applyAlignment="1">
      <alignment horizontal="center" vertical="center" wrapText="1"/>
    </xf>
    <xf numFmtId="0" fontId="5" fillId="8" borderId="15" xfId="0" applyFont="1" applyFill="1" applyBorder="1" applyAlignment="1">
      <alignment horizontal="center" vertical="center" wrapText="1"/>
    </xf>
    <xf numFmtId="0" fontId="4" fillId="3" borderId="37" xfId="0" applyFont="1" applyFill="1" applyBorder="1" applyAlignment="1">
      <alignment vertical="center"/>
    </xf>
    <xf numFmtId="0" fontId="30" fillId="3" borderId="0" xfId="0" applyFont="1" applyFill="1" applyAlignment="1">
      <alignment horizontal="center" vertical="center"/>
    </xf>
    <xf numFmtId="0" fontId="37" fillId="2" borderId="2" xfId="0" applyFont="1" applyFill="1" applyBorder="1" applyAlignment="1">
      <alignment horizontal="center" vertical="center"/>
    </xf>
    <xf numFmtId="0" fontId="10" fillId="5" borderId="2" xfId="0" applyFont="1" applyFill="1" applyBorder="1" applyAlignment="1">
      <alignment horizontal="center" vertical="center"/>
    </xf>
    <xf numFmtId="0" fontId="15" fillId="3" borderId="0" xfId="0" applyFont="1" applyFill="1" applyAlignment="1">
      <alignment horizontal="left" vertical="center" wrapText="1"/>
    </xf>
    <xf numFmtId="0" fontId="4" fillId="0" borderId="0" xfId="0" applyFont="1" applyAlignment="1">
      <alignment horizontal="center" vertical="center"/>
    </xf>
    <xf numFmtId="0" fontId="5" fillId="8" borderId="1" xfId="0" applyFont="1" applyFill="1" applyBorder="1" applyAlignment="1" applyProtection="1">
      <alignment horizontal="center" vertical="center"/>
      <protection hidden="1"/>
    </xf>
    <xf numFmtId="0" fontId="5" fillId="8" borderId="0" xfId="0" applyFont="1" applyFill="1" applyAlignment="1" applyProtection="1">
      <alignment horizontal="center" vertical="center" wrapText="1"/>
      <protection hidden="1"/>
    </xf>
    <xf numFmtId="0" fontId="5" fillId="8" borderId="0" xfId="0" applyFont="1" applyFill="1" applyAlignment="1" applyProtection="1">
      <alignment vertical="center" wrapText="1"/>
      <protection hidden="1"/>
    </xf>
    <xf numFmtId="0" fontId="20" fillId="10" borderId="0" xfId="0" applyFont="1" applyFill="1" applyAlignment="1" applyProtection="1">
      <alignment vertical="center"/>
      <protection hidden="1"/>
    </xf>
    <xf numFmtId="0" fontId="21" fillId="3" borderId="33" xfId="0" applyFont="1" applyFill="1" applyBorder="1" applyAlignment="1">
      <alignment horizontal="center" vertical="center"/>
    </xf>
    <xf numFmtId="0" fontId="21" fillId="3" borderId="33" xfId="0" applyFont="1" applyFill="1" applyBorder="1" applyAlignment="1" applyProtection="1">
      <alignment horizontal="center" vertical="center"/>
      <protection hidden="1"/>
    </xf>
    <xf numFmtId="164" fontId="11" fillId="2" borderId="9" xfId="0" applyNumberFormat="1" applyFont="1" applyFill="1" applyBorder="1" applyAlignment="1" applyProtection="1">
      <alignment horizontal="center" vertical="center"/>
      <protection hidden="1"/>
    </xf>
    <xf numFmtId="170" fontId="10" fillId="5" borderId="2" xfId="0" applyNumberFormat="1" applyFont="1" applyFill="1" applyBorder="1" applyAlignment="1">
      <alignment horizontal="center" vertical="center"/>
    </xf>
    <xf numFmtId="170" fontId="10" fillId="5" borderId="26" xfId="0" applyNumberFormat="1" applyFont="1" applyFill="1" applyBorder="1" applyAlignment="1">
      <alignment horizontal="center" vertical="center"/>
    </xf>
    <xf numFmtId="0" fontId="11" fillId="3" borderId="42" xfId="0" applyFont="1" applyFill="1" applyBorder="1" applyAlignment="1" applyProtection="1">
      <alignment horizontal="left" vertical="center"/>
      <protection locked="0"/>
    </xf>
    <xf numFmtId="0" fontId="56" fillId="8" borderId="1" xfId="0" applyFont="1" applyFill="1" applyBorder="1" applyAlignment="1" applyProtection="1">
      <alignment horizontal="center" vertical="center" wrapText="1"/>
      <protection hidden="1"/>
    </xf>
    <xf numFmtId="8" fontId="11" fillId="19" borderId="2" xfId="0" applyNumberFormat="1" applyFont="1" applyFill="1" applyBorder="1" applyAlignment="1" applyProtection="1">
      <alignment horizontal="center" vertical="center"/>
      <protection locked="0"/>
    </xf>
    <xf numFmtId="6" fontId="10" fillId="5" borderId="1" xfId="2" applyNumberFormat="1" applyFont="1" applyFill="1" applyBorder="1" applyAlignment="1" applyProtection="1">
      <alignment horizontal="center" vertical="center"/>
    </xf>
    <xf numFmtId="0" fontId="21" fillId="3" borderId="0" xfId="0" applyFont="1" applyFill="1" applyAlignment="1">
      <alignment horizontal="center" vertical="center"/>
    </xf>
    <xf numFmtId="0" fontId="20" fillId="3" borderId="0" xfId="0" applyFont="1" applyFill="1" applyAlignment="1" applyProtection="1">
      <alignment vertical="center"/>
      <protection hidden="1"/>
    </xf>
    <xf numFmtId="0" fontId="5" fillId="3" borderId="0" xfId="0" applyFont="1" applyFill="1" applyAlignment="1" applyProtection="1">
      <alignment horizontal="center" vertical="center" wrapText="1"/>
      <protection hidden="1"/>
    </xf>
    <xf numFmtId="0" fontId="33" fillId="3" borderId="0" xfId="0" applyFont="1" applyFill="1" applyAlignment="1" applyProtection="1">
      <alignment horizontal="center" vertical="center" wrapText="1"/>
      <protection hidden="1"/>
    </xf>
    <xf numFmtId="164" fontId="11" fillId="3" borderId="0" xfId="0" applyNumberFormat="1" applyFont="1" applyFill="1" applyAlignment="1" applyProtection="1">
      <alignment horizontal="center" vertical="center"/>
      <protection hidden="1"/>
    </xf>
    <xf numFmtId="0" fontId="57" fillId="8" borderId="1" xfId="0" applyFont="1" applyFill="1" applyBorder="1" applyAlignment="1" applyProtection="1">
      <alignment horizontal="center" vertical="center" wrapText="1"/>
      <protection hidden="1"/>
    </xf>
    <xf numFmtId="0" fontId="56" fillId="8" borderId="0" xfId="0" applyFont="1" applyFill="1" applyAlignment="1" applyProtection="1">
      <alignment horizontal="center" vertical="center" wrapText="1"/>
      <protection hidden="1"/>
    </xf>
    <xf numFmtId="0" fontId="57" fillId="8" borderId="0" xfId="0" applyFont="1" applyFill="1" applyAlignment="1" applyProtection="1">
      <alignment horizontal="center" vertical="center" wrapText="1"/>
      <protection hidden="1"/>
    </xf>
    <xf numFmtId="6" fontId="21" fillId="3" borderId="33" xfId="0" applyNumberFormat="1" applyFont="1" applyFill="1" applyBorder="1" applyAlignment="1" applyProtection="1">
      <alignment horizontal="center" vertical="center"/>
      <protection hidden="1"/>
    </xf>
    <xf numFmtId="6" fontId="7" fillId="3" borderId="33"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wrapText="1"/>
      <protection hidden="1"/>
    </xf>
    <xf numFmtId="0" fontId="7" fillId="2" borderId="0" xfId="0" applyFont="1" applyFill="1" applyAlignment="1" applyProtection="1">
      <alignment vertical="center" wrapText="1"/>
      <protection hidden="1"/>
    </xf>
    <xf numFmtId="0" fontId="7" fillId="2" borderId="0" xfId="0" applyFont="1" applyFill="1" applyAlignment="1" applyProtection="1">
      <alignment horizontal="center" vertical="center" wrapText="1"/>
      <protection hidden="1"/>
    </xf>
    <xf numFmtId="0" fontId="5" fillId="8" borderId="16" xfId="0" applyFont="1" applyFill="1" applyBorder="1" applyAlignment="1">
      <alignment horizontal="center" vertical="center" wrapText="1"/>
    </xf>
    <xf numFmtId="164" fontId="21" fillId="3" borderId="33" xfId="0" applyNumberFormat="1" applyFont="1" applyFill="1" applyBorder="1" applyAlignment="1">
      <alignment horizontal="center" vertical="center"/>
    </xf>
    <xf numFmtId="164" fontId="21" fillId="3" borderId="33" xfId="0" applyNumberFormat="1" applyFont="1" applyFill="1" applyBorder="1" applyAlignment="1" applyProtection="1">
      <alignment horizontal="center" vertical="center"/>
      <protection hidden="1"/>
    </xf>
    <xf numFmtId="164" fontId="7" fillId="3" borderId="33" xfId="0" applyNumberFormat="1" applyFont="1" applyFill="1" applyBorder="1" applyAlignment="1" applyProtection="1">
      <alignment horizontal="center" vertical="center"/>
      <protection hidden="1"/>
    </xf>
    <xf numFmtId="0" fontId="5" fillId="11" borderId="0" xfId="0" applyFont="1" applyFill="1" applyAlignment="1" applyProtection="1">
      <alignment horizontal="center" vertical="center" wrapText="1"/>
      <protection hidden="1"/>
    </xf>
    <xf numFmtId="0" fontId="47" fillId="2" borderId="14" xfId="0" applyFont="1" applyFill="1" applyBorder="1" applyAlignment="1" applyProtection="1">
      <alignment horizontal="center" vertical="center" wrapText="1"/>
      <protection hidden="1"/>
    </xf>
    <xf numFmtId="0" fontId="58" fillId="2" borderId="14" xfId="0" applyFont="1" applyFill="1" applyBorder="1" applyAlignment="1" applyProtection="1">
      <alignment horizontal="center" vertical="center" wrapText="1"/>
      <protection hidden="1"/>
    </xf>
    <xf numFmtId="0" fontId="47" fillId="2" borderId="15" xfId="0" applyFont="1" applyFill="1" applyBorder="1" applyAlignment="1" applyProtection="1">
      <alignment horizontal="center" vertical="center" wrapText="1"/>
      <protection hidden="1"/>
    </xf>
    <xf numFmtId="0" fontId="47" fillId="2" borderId="0" xfId="0" applyFont="1" applyFill="1" applyAlignment="1" applyProtection="1">
      <alignment horizontal="center" vertical="center" wrapText="1"/>
      <protection hidden="1"/>
    </xf>
    <xf numFmtId="0" fontId="47" fillId="2" borderId="27" xfId="0" applyFont="1" applyFill="1" applyBorder="1" applyAlignment="1" applyProtection="1">
      <alignment horizontal="center" vertical="center" wrapText="1"/>
      <protection hidden="1"/>
    </xf>
    <xf numFmtId="0" fontId="47" fillId="2" borderId="28" xfId="0" applyFont="1" applyFill="1" applyBorder="1" applyAlignment="1" applyProtection="1">
      <alignment horizontal="center" vertical="center" wrapText="1"/>
      <protection hidden="1"/>
    </xf>
    <xf numFmtId="0" fontId="47" fillId="5" borderId="14" xfId="0" applyFont="1" applyFill="1" applyBorder="1" applyAlignment="1" applyProtection="1">
      <alignment horizontal="center" vertical="center" wrapText="1"/>
      <protection hidden="1"/>
    </xf>
    <xf numFmtId="0" fontId="47" fillId="2" borderId="21" xfId="0" applyFont="1" applyFill="1" applyBorder="1" applyAlignment="1" applyProtection="1">
      <alignment horizontal="center" vertical="center" wrapText="1"/>
      <protection hidden="1"/>
    </xf>
    <xf numFmtId="0" fontId="47" fillId="2" borderId="30" xfId="0" applyFont="1" applyFill="1" applyBorder="1" applyAlignment="1" applyProtection="1">
      <alignment horizontal="center" vertical="center" wrapText="1"/>
      <protection hidden="1"/>
    </xf>
    <xf numFmtId="0" fontId="47" fillId="2" borderId="36" xfId="0" applyFont="1" applyFill="1" applyBorder="1" applyAlignment="1" applyProtection="1">
      <alignment horizontal="center" vertical="center" wrapText="1"/>
      <protection hidden="1"/>
    </xf>
    <xf numFmtId="0" fontId="44" fillId="3" borderId="0" xfId="0" applyFont="1" applyFill="1" applyAlignment="1">
      <alignment horizontal="center" vertical="center"/>
    </xf>
    <xf numFmtId="0" fontId="47" fillId="2" borderId="0" xfId="0" applyFont="1" applyFill="1" applyAlignment="1">
      <alignment horizontal="center" vertical="center" wrapText="1"/>
    </xf>
    <xf numFmtId="0" fontId="58" fillId="2" borderId="14" xfId="0" applyFont="1" applyFill="1" applyBorder="1" applyAlignment="1">
      <alignment horizontal="center" vertical="center" wrapText="1"/>
    </xf>
    <xf numFmtId="0" fontId="47" fillId="2" borderId="14" xfId="0" applyFont="1" applyFill="1" applyBorder="1" applyAlignment="1">
      <alignment horizontal="center" vertical="center" wrapText="1"/>
    </xf>
    <xf numFmtId="0" fontId="44" fillId="3" borderId="0" xfId="0" applyFont="1" applyFill="1" applyAlignment="1">
      <alignment vertical="center"/>
    </xf>
    <xf numFmtId="0" fontId="44" fillId="0" borderId="0" xfId="0" applyFont="1" applyAlignment="1">
      <alignment vertical="center"/>
    </xf>
    <xf numFmtId="0" fontId="11" fillId="3" borderId="1" xfId="0" applyFont="1" applyFill="1" applyBorder="1" applyAlignment="1">
      <alignment vertical="center" wrapText="1"/>
    </xf>
    <xf numFmtId="0" fontId="19" fillId="3" borderId="0" xfId="0" applyFont="1" applyFill="1" applyAlignment="1">
      <alignment vertical="center"/>
    </xf>
    <xf numFmtId="0" fontId="47" fillId="2" borderId="28" xfId="0" applyFont="1" applyFill="1" applyBorder="1" applyAlignment="1">
      <alignment horizontal="center" vertical="center" wrapText="1"/>
    </xf>
    <xf numFmtId="0" fontId="47" fillId="2" borderId="15" xfId="0" applyFont="1" applyFill="1" applyBorder="1" applyAlignment="1">
      <alignment horizontal="center" vertical="center" wrapText="1"/>
    </xf>
    <xf numFmtId="0" fontId="11" fillId="2" borderId="42" xfId="0" applyFont="1" applyFill="1" applyBorder="1" applyAlignment="1">
      <alignment horizontal="center" vertical="center"/>
    </xf>
    <xf numFmtId="0" fontId="10" fillId="5" borderId="47" xfId="0" applyFont="1" applyFill="1" applyBorder="1" applyAlignment="1">
      <alignment horizontal="center" vertical="center"/>
    </xf>
    <xf numFmtId="170" fontId="10" fillId="5" borderId="53" xfId="0" applyNumberFormat="1" applyFont="1" applyFill="1" applyBorder="1" applyAlignment="1">
      <alignment horizontal="center" vertical="center"/>
    </xf>
    <xf numFmtId="170" fontId="10" fillId="5" borderId="43" xfId="0" applyNumberFormat="1" applyFont="1" applyFill="1" applyBorder="1" applyAlignment="1">
      <alignment horizontal="center" vertical="center"/>
    </xf>
    <xf numFmtId="8" fontId="10" fillId="5" borderId="27" xfId="2" applyNumberFormat="1" applyFont="1" applyFill="1" applyBorder="1" applyAlignment="1" applyProtection="1">
      <alignment horizontal="center" vertical="center"/>
    </xf>
    <xf numFmtId="8" fontId="10" fillId="5" borderId="44" xfId="2" applyNumberFormat="1" applyFont="1" applyFill="1" applyBorder="1" applyAlignment="1" applyProtection="1">
      <alignment horizontal="center" vertical="center"/>
    </xf>
    <xf numFmtId="8" fontId="10" fillId="5" borderId="48" xfId="2" applyNumberFormat="1" applyFont="1" applyFill="1" applyBorder="1" applyAlignment="1" applyProtection="1">
      <alignment horizontal="center" vertical="center"/>
    </xf>
    <xf numFmtId="2" fontId="11" fillId="5" borderId="26" xfId="0" applyNumberFormat="1" applyFont="1" applyFill="1" applyBorder="1" applyAlignment="1">
      <alignment horizontal="center" vertical="center"/>
    </xf>
    <xf numFmtId="0" fontId="11" fillId="6" borderId="47" xfId="0" applyFont="1" applyFill="1" applyBorder="1" applyAlignment="1" applyProtection="1">
      <alignment horizontal="center" vertical="center"/>
      <protection locked="0"/>
    </xf>
    <xf numFmtId="0" fontId="5" fillId="8" borderId="17"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0" xfId="0" applyFont="1" applyFill="1" applyAlignment="1">
      <alignment horizontal="center" vertical="center" wrapText="1"/>
    </xf>
    <xf numFmtId="0" fontId="5" fillId="8" borderId="14" xfId="0" applyFont="1" applyFill="1" applyBorder="1" applyAlignment="1">
      <alignment horizontal="center" vertical="center" wrapText="1"/>
    </xf>
    <xf numFmtId="0" fontId="47" fillId="5" borderId="9" xfId="0" applyFont="1" applyFill="1" applyBorder="1" applyAlignment="1" applyProtection="1">
      <alignment horizontal="center" vertical="center" wrapText="1"/>
      <protection hidden="1"/>
    </xf>
    <xf numFmtId="6" fontId="11" fillId="5" borderId="55" xfId="0" applyNumberFormat="1" applyFont="1" applyFill="1" applyBorder="1" applyAlignment="1" applyProtection="1">
      <alignment horizontal="center" vertical="center"/>
      <protection hidden="1"/>
    </xf>
    <xf numFmtId="6" fontId="10" fillId="5" borderId="9" xfId="2" applyNumberFormat="1" applyFont="1" applyFill="1" applyBorder="1" applyAlignment="1" applyProtection="1">
      <alignment horizontal="center" vertical="center"/>
      <protection hidden="1"/>
    </xf>
    <xf numFmtId="6" fontId="11" fillId="5" borderId="9" xfId="0" applyNumberFormat="1" applyFont="1" applyFill="1" applyBorder="1" applyAlignment="1" applyProtection="1">
      <alignment horizontal="center" vertical="center"/>
      <protection hidden="1"/>
    </xf>
    <xf numFmtId="0" fontId="59" fillId="5" borderId="0" xfId="0" applyFont="1" applyFill="1" applyAlignment="1">
      <alignment horizontal="center" vertical="center" wrapText="1"/>
    </xf>
    <xf numFmtId="2" fontId="11" fillId="2" borderId="4" xfId="0" applyNumberFormat="1" applyFont="1" applyFill="1" applyBorder="1" applyAlignment="1">
      <alignment horizontal="center" vertical="center"/>
    </xf>
    <xf numFmtId="170" fontId="10" fillId="5" borderId="4" xfId="0" applyNumberFormat="1" applyFont="1" applyFill="1" applyBorder="1" applyAlignment="1">
      <alignment horizontal="center" vertical="center"/>
    </xf>
    <xf numFmtId="0" fontId="59" fillId="2" borderId="8" xfId="0" applyFont="1" applyFill="1" applyBorder="1" applyAlignment="1">
      <alignment horizontal="center" vertical="center" wrapText="1"/>
    </xf>
    <xf numFmtId="171" fontId="11" fillId="5" borderId="2" xfId="0" applyNumberFormat="1" applyFont="1" applyFill="1" applyBorder="1" applyAlignment="1">
      <alignment horizontal="center" vertical="center"/>
    </xf>
    <xf numFmtId="171" fontId="10" fillId="5" borderId="2" xfId="2" applyNumberFormat="1" applyFont="1" applyFill="1" applyBorder="1" applyAlignment="1" applyProtection="1">
      <alignment horizontal="center" vertical="center"/>
    </xf>
    <xf numFmtId="171" fontId="11" fillId="2" borderId="26" xfId="0" applyNumberFormat="1" applyFont="1" applyFill="1" applyBorder="1" applyAlignment="1">
      <alignment horizontal="center" vertical="center"/>
    </xf>
    <xf numFmtId="171" fontId="10" fillId="5" borderId="29" xfId="2" applyNumberFormat="1" applyFont="1" applyFill="1" applyBorder="1" applyAlignment="1" applyProtection="1">
      <alignment horizontal="center" vertical="center"/>
    </xf>
    <xf numFmtId="0" fontId="47" fillId="5" borderId="48" xfId="0" applyFont="1" applyFill="1" applyBorder="1" applyAlignment="1" applyProtection="1">
      <alignment horizontal="center" vertical="center" wrapText="1"/>
      <protection hidden="1"/>
    </xf>
    <xf numFmtId="164" fontId="13" fillId="3" borderId="0" xfId="0" applyNumberFormat="1" applyFont="1" applyFill="1" applyAlignment="1">
      <alignment horizontal="left" vertical="top"/>
    </xf>
    <xf numFmtId="2" fontId="6" fillId="14" borderId="0" xfId="0" applyNumberFormat="1" applyFont="1" applyFill="1" applyAlignment="1">
      <alignment horizontal="center" vertical="center"/>
    </xf>
    <xf numFmtId="2" fontId="6" fillId="12" borderId="0" xfId="0" applyNumberFormat="1" applyFont="1" applyFill="1" applyAlignment="1">
      <alignment horizontal="center" vertical="center"/>
    </xf>
    <xf numFmtId="2" fontId="6" fillId="16" borderId="0" xfId="0" applyNumberFormat="1" applyFont="1" applyFill="1" applyAlignment="1">
      <alignment horizontal="center" vertical="center"/>
    </xf>
    <xf numFmtId="2" fontId="5" fillId="8" borderId="0" xfId="0" applyNumberFormat="1" applyFont="1" applyFill="1" applyAlignment="1">
      <alignment horizontal="center"/>
    </xf>
    <xf numFmtId="2" fontId="4" fillId="3" borderId="33" xfId="0" applyNumberFormat="1" applyFont="1" applyFill="1" applyBorder="1" applyAlignment="1" applyProtection="1">
      <alignment horizontal="center" vertical="center"/>
      <protection hidden="1"/>
    </xf>
    <xf numFmtId="2" fontId="4" fillId="3" borderId="33" xfId="1" applyNumberFormat="1" applyFont="1" applyFill="1" applyBorder="1" applyAlignment="1" applyProtection="1">
      <alignment horizontal="center" vertical="center"/>
      <protection hidden="1"/>
    </xf>
    <xf numFmtId="4" fontId="11" fillId="6" borderId="5" xfId="0" applyNumberFormat="1" applyFont="1" applyFill="1" applyBorder="1" applyAlignment="1" applyProtection="1">
      <alignment horizontal="center" vertical="center"/>
      <protection locked="0"/>
    </xf>
    <xf numFmtId="4" fontId="11" fillId="6" borderId="2" xfId="0" applyNumberFormat="1" applyFont="1" applyFill="1" applyBorder="1" applyAlignment="1" applyProtection="1">
      <alignment horizontal="center" vertical="center"/>
      <protection locked="0"/>
    </xf>
    <xf numFmtId="4" fontId="11" fillId="6" borderId="43" xfId="0" applyNumberFormat="1" applyFont="1" applyFill="1" applyBorder="1" applyAlignment="1" applyProtection="1">
      <alignment horizontal="center" vertical="center"/>
      <protection locked="0"/>
    </xf>
    <xf numFmtId="4" fontId="11" fillId="2" borderId="41" xfId="0" applyNumberFormat="1" applyFont="1" applyFill="1" applyBorder="1" applyAlignment="1" applyProtection="1">
      <alignment horizontal="center" vertical="center"/>
      <protection hidden="1"/>
    </xf>
    <xf numFmtId="4" fontId="11" fillId="2" borderId="26" xfId="0" applyNumberFormat="1" applyFont="1" applyFill="1" applyBorder="1" applyAlignment="1" applyProtection="1">
      <alignment horizontal="center" vertical="center"/>
      <protection hidden="1"/>
    </xf>
    <xf numFmtId="4" fontId="11" fillId="2" borderId="42" xfId="0" applyNumberFormat="1" applyFont="1" applyFill="1" applyBorder="1" applyAlignment="1" applyProtection="1">
      <alignment horizontal="center" vertical="center"/>
      <protection hidden="1"/>
    </xf>
    <xf numFmtId="4" fontId="11" fillId="5" borderId="41" xfId="0" applyNumberFormat="1" applyFont="1" applyFill="1" applyBorder="1" applyAlignment="1" applyProtection="1">
      <alignment horizontal="center" vertical="center"/>
      <protection hidden="1"/>
    </xf>
    <xf numFmtId="4" fontId="11" fillId="5" borderId="26" xfId="0" applyNumberFormat="1" applyFont="1" applyFill="1" applyBorder="1" applyAlignment="1" applyProtection="1">
      <alignment horizontal="center" vertical="center"/>
      <protection hidden="1"/>
    </xf>
    <xf numFmtId="4" fontId="10" fillId="5" borderId="43" xfId="0" applyNumberFormat="1" applyFont="1" applyFill="1" applyBorder="1" applyAlignment="1" applyProtection="1">
      <alignment horizontal="center" vertical="center"/>
      <protection hidden="1"/>
    </xf>
    <xf numFmtId="4" fontId="10" fillId="5" borderId="53" xfId="0" applyNumberFormat="1" applyFont="1" applyFill="1" applyBorder="1" applyAlignment="1" applyProtection="1">
      <alignment horizontal="center" vertical="center"/>
      <protection hidden="1"/>
    </xf>
    <xf numFmtId="4" fontId="10" fillId="5" borderId="41" xfId="0" applyNumberFormat="1" applyFont="1" applyFill="1" applyBorder="1" applyAlignment="1" applyProtection="1">
      <alignment horizontal="center" vertical="center"/>
      <protection hidden="1"/>
    </xf>
    <xf numFmtId="4" fontId="10" fillId="5" borderId="26" xfId="0" applyNumberFormat="1" applyFont="1" applyFill="1" applyBorder="1" applyAlignment="1" applyProtection="1">
      <alignment horizontal="center" vertical="center"/>
      <protection hidden="1"/>
    </xf>
    <xf numFmtId="4" fontId="10" fillId="4" borderId="41" xfId="0" applyNumberFormat="1" applyFont="1" applyFill="1" applyBorder="1" applyAlignment="1" applyProtection="1">
      <alignment horizontal="center" vertical="center"/>
      <protection hidden="1"/>
    </xf>
    <xf numFmtId="4" fontId="10" fillId="4" borderId="2" xfId="0" applyNumberFormat="1" applyFont="1" applyFill="1" applyBorder="1" applyAlignment="1" applyProtection="1">
      <alignment horizontal="center" vertical="center"/>
      <protection hidden="1"/>
    </xf>
    <xf numFmtId="0" fontId="54" fillId="3" borderId="3" xfId="0" applyFont="1" applyFill="1" applyBorder="1" applyAlignment="1" applyProtection="1">
      <alignment horizontal="left" vertical="center" wrapText="1"/>
      <protection hidden="1"/>
    </xf>
    <xf numFmtId="0" fontId="8" fillId="3" borderId="0" xfId="0" applyFont="1" applyFill="1" applyAlignment="1" applyProtection="1">
      <alignment horizontal="left" vertical="center" wrapText="1"/>
      <protection hidden="1"/>
    </xf>
    <xf numFmtId="0" fontId="5" fillId="10" borderId="17" xfId="0" applyFont="1" applyFill="1" applyBorder="1" applyAlignment="1" applyProtection="1">
      <alignment horizontal="center" vertical="center" wrapText="1"/>
      <protection hidden="1"/>
    </xf>
    <xf numFmtId="0" fontId="5" fillId="10" borderId="18" xfId="0" applyFont="1" applyFill="1" applyBorder="1" applyAlignment="1" applyProtection="1">
      <alignment horizontal="center" vertical="center" wrapText="1"/>
      <protection hidden="1"/>
    </xf>
    <xf numFmtId="0" fontId="5" fillId="10" borderId="19" xfId="0" applyFont="1" applyFill="1" applyBorder="1" applyAlignment="1" applyProtection="1">
      <alignment horizontal="center" vertical="center" wrapText="1"/>
      <protection hidden="1"/>
    </xf>
    <xf numFmtId="0" fontId="5" fillId="10" borderId="16" xfId="0" applyFont="1" applyFill="1" applyBorder="1" applyAlignment="1" applyProtection="1">
      <alignment horizontal="center" vertical="center" wrapText="1"/>
      <protection hidden="1"/>
    </xf>
    <xf numFmtId="0" fontId="5" fillId="10" borderId="0" xfId="0" applyFont="1" applyFill="1" applyAlignment="1" applyProtection="1">
      <alignment horizontal="center" vertical="center" wrapText="1"/>
      <protection hidden="1"/>
    </xf>
    <xf numFmtId="0" fontId="5" fillId="8" borderId="39" xfId="0" applyFont="1" applyFill="1" applyBorder="1" applyAlignment="1" applyProtection="1">
      <alignment horizontal="center" vertical="center" wrapText="1"/>
      <protection hidden="1"/>
    </xf>
    <xf numFmtId="0" fontId="5" fillId="8" borderId="40" xfId="0" applyFont="1" applyFill="1" applyBorder="1" applyAlignment="1" applyProtection="1">
      <alignment horizontal="center" vertical="center" wrapText="1"/>
      <protection hidden="1"/>
    </xf>
    <xf numFmtId="0" fontId="5" fillId="8" borderId="15" xfId="0" applyFont="1" applyFill="1" applyBorder="1" applyAlignment="1" applyProtection="1">
      <alignment horizontal="center" vertical="center" wrapText="1"/>
      <protection hidden="1"/>
    </xf>
    <xf numFmtId="0" fontId="5" fillId="10" borderId="24" xfId="0" applyFont="1" applyFill="1" applyBorder="1" applyAlignment="1" applyProtection="1">
      <alignment horizontal="center" vertical="center" wrapText="1"/>
      <protection hidden="1"/>
    </xf>
    <xf numFmtId="0" fontId="5" fillId="10" borderId="23" xfId="0" applyFont="1" applyFill="1" applyBorder="1" applyAlignment="1" applyProtection="1">
      <alignment horizontal="center" vertical="center" wrapText="1"/>
      <protection hidden="1"/>
    </xf>
    <xf numFmtId="0" fontId="5" fillId="10" borderId="22" xfId="0" applyFont="1" applyFill="1" applyBorder="1" applyAlignment="1" applyProtection="1">
      <alignment horizontal="center" vertical="center" wrapText="1"/>
      <protection hidden="1"/>
    </xf>
    <xf numFmtId="0" fontId="15" fillId="3" borderId="3" xfId="0" applyFont="1" applyFill="1" applyBorder="1" applyAlignment="1" applyProtection="1">
      <alignment horizontal="left" vertical="center" wrapText="1"/>
      <protection hidden="1"/>
    </xf>
    <xf numFmtId="0" fontId="5" fillId="10" borderId="16" xfId="0" applyFont="1" applyFill="1" applyBorder="1" applyAlignment="1" applyProtection="1">
      <alignment horizontal="center" vertical="center"/>
      <protection hidden="1"/>
    </xf>
    <xf numFmtId="0" fontId="5" fillId="10" borderId="14" xfId="0" applyFont="1" applyFill="1" applyBorder="1" applyAlignment="1" applyProtection="1">
      <alignment horizontal="center" vertical="center"/>
      <protection hidden="1"/>
    </xf>
    <xf numFmtId="0" fontId="11" fillId="3" borderId="1" xfId="0" applyFont="1" applyFill="1" applyBorder="1" applyAlignment="1" applyProtection="1">
      <alignment horizontal="left" vertical="center" wrapText="1"/>
      <protection hidden="1"/>
    </xf>
    <xf numFmtId="0" fontId="5" fillId="10" borderId="15" xfId="0" applyFont="1" applyFill="1" applyBorder="1" applyAlignment="1" applyProtection="1">
      <alignment horizontal="center" vertical="center" wrapText="1"/>
      <protection hidden="1"/>
    </xf>
    <xf numFmtId="0" fontId="10" fillId="3" borderId="2" xfId="0" applyFont="1" applyFill="1" applyBorder="1" applyAlignment="1" applyProtection="1">
      <alignment horizontal="left" vertical="center" wrapText="1"/>
      <protection hidden="1"/>
    </xf>
    <xf numFmtId="0" fontId="5" fillId="8" borderId="38" xfId="0" applyFont="1" applyFill="1" applyBorder="1" applyAlignment="1" applyProtection="1">
      <alignment horizontal="center" vertical="center" wrapText="1"/>
      <protection hidden="1"/>
    </xf>
    <xf numFmtId="0" fontId="5" fillId="8" borderId="1" xfId="0" applyFont="1" applyFill="1" applyBorder="1" applyAlignment="1" applyProtection="1">
      <alignment horizontal="center" vertical="center" wrapText="1"/>
      <protection hidden="1"/>
    </xf>
    <xf numFmtId="0" fontId="20" fillId="11" borderId="20" xfId="0" applyFont="1" applyFill="1" applyBorder="1" applyAlignment="1" applyProtection="1">
      <alignment horizontal="center" vertical="center"/>
      <protection hidden="1"/>
    </xf>
    <xf numFmtId="0" fontId="20" fillId="11" borderId="0" xfId="0" applyFont="1" applyFill="1" applyAlignment="1" applyProtection="1">
      <alignment horizontal="center" vertical="center"/>
      <protection hidden="1"/>
    </xf>
    <xf numFmtId="0" fontId="20" fillId="10" borderId="20" xfId="0" applyFont="1" applyFill="1" applyBorder="1" applyAlignment="1" applyProtection="1">
      <alignment horizontal="center" vertical="center"/>
      <protection hidden="1"/>
    </xf>
    <xf numFmtId="0" fontId="5" fillId="10" borderId="14" xfId="0" applyFont="1" applyFill="1" applyBorder="1" applyAlignment="1" applyProtection="1">
      <alignment horizontal="center" vertical="center" wrapText="1"/>
      <protection hidden="1"/>
    </xf>
    <xf numFmtId="0" fontId="10" fillId="3" borderId="2" xfId="0" applyFont="1" applyFill="1" applyBorder="1" applyAlignment="1">
      <alignment horizontal="left" vertical="center" wrapText="1"/>
    </xf>
    <xf numFmtId="0" fontId="47" fillId="2" borderId="51" xfId="0" applyFont="1" applyFill="1" applyBorder="1" applyAlignment="1">
      <alignment horizontal="center" vertical="center" wrapText="1"/>
    </xf>
    <xf numFmtId="0" fontId="47" fillId="2" borderId="0" xfId="0" applyFont="1" applyFill="1" applyAlignment="1">
      <alignment horizontal="center" vertical="center" wrapText="1"/>
    </xf>
    <xf numFmtId="0" fontId="20" fillId="11" borderId="0" xfId="0" applyFont="1" applyFill="1" applyAlignment="1">
      <alignment horizontal="center" vertical="center"/>
    </xf>
    <xf numFmtId="0" fontId="47" fillId="2" borderId="55" xfId="0" applyFont="1" applyFill="1" applyBorder="1" applyAlignment="1">
      <alignment horizontal="center" vertical="center" wrapText="1"/>
    </xf>
    <xf numFmtId="0" fontId="47" fillId="2" borderId="1" xfId="0" applyFont="1" applyFill="1" applyBorder="1" applyAlignment="1">
      <alignment horizontal="center" vertical="center" wrapText="1"/>
    </xf>
    <xf numFmtId="0" fontId="47" fillId="2" borderId="29" xfId="0" applyFont="1" applyFill="1" applyBorder="1" applyAlignment="1">
      <alignment horizontal="center" vertical="center" wrapText="1"/>
    </xf>
    <xf numFmtId="0" fontId="20" fillId="10" borderId="20" xfId="0" applyFont="1" applyFill="1" applyBorder="1" applyAlignment="1">
      <alignment horizontal="center" vertical="center"/>
    </xf>
    <xf numFmtId="0" fontId="8" fillId="3" borderId="0" xfId="0" applyFont="1" applyFill="1" applyAlignment="1">
      <alignment horizontal="left" vertical="center"/>
    </xf>
    <xf numFmtId="0" fontId="1" fillId="3" borderId="0" xfId="0" applyFont="1" applyFill="1" applyAlignment="1">
      <alignment horizontal="left" vertical="center" wrapText="1"/>
    </xf>
    <xf numFmtId="164" fontId="5" fillId="8" borderId="0" xfId="0" applyNumberFormat="1" applyFont="1" applyFill="1" applyAlignment="1">
      <alignment horizontal="left" vertical="center"/>
    </xf>
    <xf numFmtId="0" fontId="1" fillId="3" borderId="0" xfId="0" applyFont="1" applyFill="1" applyAlignment="1" applyProtection="1">
      <alignment horizontal="left" vertical="center" wrapText="1"/>
      <protection hidden="1"/>
    </xf>
    <xf numFmtId="0" fontId="2" fillId="3" borderId="31" xfId="0" applyFont="1" applyFill="1" applyBorder="1" applyAlignment="1">
      <alignment horizontal="center" vertical="center"/>
    </xf>
    <xf numFmtId="0" fontId="12" fillId="10" borderId="0" xfId="0" applyFont="1" applyFill="1" applyAlignment="1">
      <alignment horizontal="center" vertical="center" wrapText="1"/>
    </xf>
    <xf numFmtId="0" fontId="12" fillId="10" borderId="0" xfId="0" applyFont="1" applyFill="1" applyAlignment="1">
      <alignment horizontal="center" vertical="center"/>
    </xf>
    <xf numFmtId="0" fontId="9" fillId="10" borderId="54" xfId="0" applyFont="1" applyFill="1" applyBorder="1" applyAlignment="1">
      <alignment horizontal="center" vertical="center"/>
    </xf>
    <xf numFmtId="0" fontId="9" fillId="10" borderId="10" xfId="0" applyFont="1" applyFill="1" applyBorder="1" applyAlignment="1">
      <alignment horizontal="center" vertical="center"/>
    </xf>
    <xf numFmtId="0" fontId="9" fillId="10" borderId="52" xfId="0" applyFont="1" applyFill="1" applyBorder="1" applyAlignment="1">
      <alignment horizontal="center" vertical="center"/>
    </xf>
    <xf numFmtId="0" fontId="5" fillId="10" borderId="13" xfId="0" applyFont="1" applyFill="1" applyBorder="1" applyAlignment="1">
      <alignment horizontal="center" vertical="center"/>
    </xf>
    <xf numFmtId="0" fontId="5" fillId="10" borderId="15" xfId="0" applyFont="1" applyFill="1" applyBorder="1" applyAlignment="1">
      <alignment horizontal="center" vertical="center"/>
    </xf>
    <xf numFmtId="0" fontId="5" fillId="10" borderId="12" xfId="0" applyFont="1" applyFill="1" applyBorder="1" applyAlignment="1">
      <alignment horizontal="center" vertical="center"/>
    </xf>
    <xf numFmtId="0" fontId="6" fillId="3" borderId="20" xfId="0" applyFont="1" applyFill="1" applyBorder="1" applyAlignment="1">
      <alignment horizontal="center" vertical="center"/>
    </xf>
    <xf numFmtId="0" fontId="1" fillId="4" borderId="32" xfId="0" applyFont="1" applyFill="1" applyBorder="1" applyAlignment="1">
      <alignment horizontal="center" vertical="center" textRotation="90"/>
    </xf>
    <xf numFmtId="0" fontId="5" fillId="8" borderId="0" xfId="0" applyFont="1" applyFill="1" applyAlignment="1" applyProtection="1">
      <alignment horizontal="center" vertical="center" wrapText="1"/>
      <protection hidden="1"/>
    </xf>
  </cellXfs>
  <cellStyles count="4">
    <cellStyle name="Currency" xfId="2" builtinId="4"/>
    <cellStyle name="Hyperlink" xfId="3" builtinId="8"/>
    <cellStyle name="Normal" xfId="0" builtinId="0"/>
    <cellStyle name="Percent" xfId="1" builtinId="5"/>
  </cellStyles>
  <dxfs count="44">
    <dxf>
      <font>
        <strike val="0"/>
        <color theme="0" tint="-0.14996795556505021"/>
      </font>
    </dxf>
    <dxf>
      <font>
        <strike val="0"/>
        <color theme="0" tint="-0.14996795556505021"/>
      </font>
    </dxf>
    <dxf>
      <fill>
        <patternFill>
          <bgColor theme="0"/>
        </patternFill>
      </fill>
    </dxf>
    <dxf>
      <fill>
        <patternFill>
          <bgColor theme="0"/>
        </patternFill>
      </fill>
    </dxf>
    <dxf>
      <font>
        <color theme="0" tint="-0.14996795556505021"/>
      </font>
    </dxf>
    <dxf>
      <font>
        <color theme="0"/>
      </font>
    </dxf>
    <dxf>
      <font>
        <color theme="0" tint="-0.14996795556505021"/>
      </font>
    </dxf>
    <dxf>
      <font>
        <strike val="0"/>
        <color theme="0" tint="-4.9989318521683403E-2"/>
      </font>
    </dxf>
    <dxf>
      <font>
        <color theme="0"/>
      </font>
    </dxf>
    <dxf>
      <fill>
        <patternFill>
          <bgColor theme="0"/>
        </patternFill>
      </fill>
    </dxf>
    <dxf>
      <fill>
        <patternFill>
          <bgColor theme="0"/>
        </patternFill>
      </fill>
    </dxf>
    <dxf>
      <fill>
        <patternFill>
          <bgColor theme="0"/>
        </patternFill>
      </fill>
    </dxf>
    <dxf>
      <font>
        <color theme="0" tint="-0.14996795556505021"/>
      </font>
    </dxf>
    <dxf>
      <font>
        <strike val="0"/>
        <color theme="0"/>
      </font>
    </dxf>
    <dxf>
      <font>
        <strike val="0"/>
        <color theme="0" tint="-4.9989318521683403E-2"/>
      </font>
    </dxf>
    <dxf>
      <fill>
        <patternFill>
          <bgColor theme="5" tint="0.79998168889431442"/>
        </patternFill>
      </fill>
    </dxf>
    <dxf>
      <fill>
        <patternFill>
          <bgColor theme="9" tint="0.79998168889431442"/>
        </patternFill>
      </fill>
    </dxf>
    <dxf>
      <font>
        <color theme="0"/>
      </font>
    </dxf>
    <dxf>
      <fill>
        <patternFill>
          <bgColor theme="5" tint="0.79998168889431442"/>
        </patternFill>
      </fill>
    </dxf>
    <dxf>
      <fill>
        <patternFill>
          <bgColor theme="9" tint="0.79998168889431442"/>
        </patternFill>
      </fill>
    </dxf>
    <dxf>
      <font>
        <color theme="0"/>
      </font>
    </dxf>
    <dxf>
      <font>
        <color theme="0" tint="-0.14996795556505021"/>
      </font>
    </dxf>
    <dxf>
      <font>
        <color theme="0" tint="-4.9989318521683403E-2"/>
      </font>
    </dxf>
    <dxf>
      <fill>
        <patternFill>
          <bgColor theme="0"/>
        </patternFill>
      </fill>
    </dxf>
    <dxf>
      <font>
        <color theme="0" tint="-0.14996795556505021"/>
      </font>
    </dxf>
    <dxf>
      <font>
        <color theme="0" tint="-4.9989318521683403E-2"/>
      </font>
    </dxf>
    <dxf>
      <fill>
        <patternFill>
          <bgColor theme="0"/>
        </patternFill>
      </fill>
    </dxf>
    <dxf>
      <fill>
        <patternFill>
          <bgColor theme="0"/>
        </patternFill>
      </fill>
    </dxf>
    <dxf>
      <font>
        <strike val="0"/>
        <color theme="0" tint="-0.14996795556505021"/>
      </font>
    </dxf>
    <dxf>
      <font>
        <strike val="0"/>
        <color theme="0" tint="-4.9989318521683403E-2"/>
      </font>
    </dxf>
    <dxf>
      <fill>
        <patternFill>
          <bgColor theme="0"/>
        </patternFill>
      </fill>
    </dxf>
    <dxf>
      <font>
        <strike val="0"/>
        <color theme="0" tint="-4.9989318521683403E-2"/>
      </font>
    </dxf>
    <dxf>
      <fill>
        <patternFill>
          <bgColor theme="0"/>
        </patternFill>
      </fill>
    </dxf>
    <dxf>
      <font>
        <strike val="0"/>
        <color theme="0" tint="-4.9989318521683403E-2"/>
      </font>
    </dxf>
    <dxf>
      <fill>
        <patternFill>
          <bgColor theme="0"/>
        </patternFill>
      </fill>
    </dxf>
    <dxf>
      <font>
        <color theme="0" tint="-0.14996795556505021"/>
      </font>
    </dxf>
    <dxf>
      <font>
        <color theme="0" tint="-4.9989318521683403E-2"/>
      </font>
    </dxf>
    <dxf>
      <fill>
        <patternFill>
          <bgColor theme="0"/>
        </patternFill>
      </fill>
    </dxf>
    <dxf>
      <fill>
        <patternFill patternType="solid">
          <fgColor rgb="FFDDEEF7"/>
          <bgColor rgb="FFDDEEF7"/>
        </patternFill>
      </fill>
    </dxf>
    <dxf>
      <numFmt numFmtId="172" formatCode="&quot;Enter custom waste/recycling stream&quot;"/>
    </dxf>
    <dxf>
      <fill>
        <patternFill>
          <bgColor theme="0"/>
        </patternFill>
      </fill>
    </dxf>
    <dxf>
      <fill>
        <patternFill>
          <bgColor theme="0"/>
        </patternFill>
      </fill>
    </dxf>
    <dxf>
      <fill>
        <patternFill>
          <bgColor theme="0"/>
        </patternFill>
      </fill>
    </dxf>
    <dxf>
      <fill>
        <patternFill>
          <bgColor theme="0"/>
        </patternFill>
      </fill>
    </dxf>
  </dxfs>
  <tableStyles count="1" defaultTableStyle="TableStyleMedium2" defaultPivotStyle="PivotStyleLight16">
    <tableStyle name="Invisible" pivot="0" table="0" count="0" xr9:uid="{00000000-0011-0000-FFFF-FFFF00000000}"/>
  </tableStyles>
  <colors>
    <mruColors>
      <color rgb="FF59AED7"/>
      <color rgb="FF1D5C7A"/>
      <color rgb="FF2C8AB7"/>
      <color rgb="FFFFFFB3"/>
      <color rgb="FFFFD966"/>
      <color rgb="FFEDF4D6"/>
      <color rgb="FFDDEEF7"/>
      <color rgb="FFFFFF89"/>
      <color rgb="FFFFFFCC"/>
      <color rgb="FF9BCE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600" b="1" i="0" u="none" strike="noStrike" kern="1200" spc="0" baseline="0">
                <a:solidFill>
                  <a:schemeClr val="tx1">
                    <a:lumMod val="50000"/>
                    <a:lumOff val="50000"/>
                  </a:schemeClr>
                </a:solidFill>
                <a:latin typeface="Microsoft PhagsPa" panose="020B0502040204020203" pitchFamily="34" charset="0"/>
                <a:ea typeface="+mn-ea"/>
                <a:cs typeface="+mn-cs"/>
              </a:defRPr>
            </a:pPr>
            <a:r>
              <a:rPr lang="en-AU" sz="1600" b="1">
                <a:solidFill>
                  <a:schemeClr val="tx1">
                    <a:lumMod val="50000"/>
                    <a:lumOff val="50000"/>
                  </a:schemeClr>
                </a:solidFill>
              </a:rPr>
              <a:t>Waste generation</a:t>
            </a:r>
            <a:r>
              <a:rPr lang="en-AU" sz="1600" b="1" baseline="0">
                <a:solidFill>
                  <a:schemeClr val="tx1">
                    <a:lumMod val="50000"/>
                    <a:lumOff val="50000"/>
                  </a:schemeClr>
                </a:solidFill>
              </a:rPr>
              <a:t> and destination</a:t>
            </a:r>
            <a:endParaRPr lang="en-AU" sz="1600" b="1">
              <a:solidFill>
                <a:schemeClr val="tx1">
                  <a:lumMod val="50000"/>
                  <a:lumOff val="50000"/>
                </a:schemeClr>
              </a:solidFill>
            </a:endParaRPr>
          </a:p>
        </c:rich>
      </c:tx>
      <c:layout>
        <c:manualLayout>
          <c:xMode val="edge"/>
          <c:yMode val="edge"/>
          <c:x val="7.8393047664721655E-4"/>
          <c:y val="0"/>
        </c:manualLayout>
      </c:layout>
      <c:overlay val="0"/>
      <c:spPr>
        <a:noFill/>
        <a:ln>
          <a:noFill/>
        </a:ln>
        <a:effectLst/>
      </c:spPr>
      <c:txPr>
        <a:bodyPr rot="0" spcFirstLastPara="1" vertOverflow="ellipsis" vert="horz" wrap="square" anchor="ctr" anchorCtr="1"/>
        <a:lstStyle/>
        <a:p>
          <a:pPr algn="l">
            <a:defRPr sz="1600" b="1" i="0" u="none" strike="noStrike" kern="1200" spc="0" baseline="0">
              <a:solidFill>
                <a:schemeClr val="tx1">
                  <a:lumMod val="50000"/>
                  <a:lumOff val="50000"/>
                </a:schemeClr>
              </a:solidFill>
              <a:latin typeface="Microsoft PhagsPa" panose="020B0502040204020203" pitchFamily="34" charset="0"/>
              <a:ea typeface="+mn-ea"/>
              <a:cs typeface="+mn-cs"/>
            </a:defRPr>
          </a:pPr>
          <a:endParaRPr lang="en-US"/>
        </a:p>
      </c:txPr>
    </c:title>
    <c:autoTitleDeleted val="0"/>
    <c:plotArea>
      <c:layout/>
      <c:ofPieChart>
        <c:ofPieType val="pie"/>
        <c:varyColors val="1"/>
        <c:ser>
          <c:idx val="0"/>
          <c:order val="0"/>
          <c:dPt>
            <c:idx val="0"/>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1-F8D6-4F43-B057-EE233335DD63}"/>
              </c:ext>
            </c:extLst>
          </c:dPt>
          <c:dPt>
            <c:idx val="1"/>
            <c:bubble3D val="0"/>
            <c:spPr>
              <a:solidFill>
                <a:srgbClr val="FFFFB3"/>
              </a:solidFill>
              <a:ln w="3175">
                <a:solidFill>
                  <a:schemeClr val="lt1"/>
                </a:solidFill>
              </a:ln>
              <a:effectLst/>
            </c:spPr>
            <c:extLst>
              <c:ext xmlns:c16="http://schemas.microsoft.com/office/drawing/2014/chart" uri="{C3380CC4-5D6E-409C-BE32-E72D297353CC}">
                <c16:uniqueId val="{00000002-F8D6-4F43-B057-EE233335DD63}"/>
              </c:ext>
            </c:extLst>
          </c:dPt>
          <c:dPt>
            <c:idx val="2"/>
            <c:bubble3D val="0"/>
            <c:spPr>
              <a:solidFill>
                <a:schemeClr val="accent4">
                  <a:lumMod val="40000"/>
                  <a:lumOff val="60000"/>
                </a:schemeClr>
              </a:solidFill>
              <a:ln w="19050">
                <a:solidFill>
                  <a:schemeClr val="lt1"/>
                </a:solidFill>
              </a:ln>
              <a:effectLst/>
            </c:spPr>
            <c:extLst>
              <c:ext xmlns:c16="http://schemas.microsoft.com/office/drawing/2014/chart" uri="{C3380CC4-5D6E-409C-BE32-E72D297353CC}">
                <c16:uniqueId val="{00000003-F8D6-4F43-B057-EE233335DD63}"/>
              </c:ext>
            </c:extLst>
          </c:dPt>
          <c:dPt>
            <c:idx val="3"/>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4-F8D6-4F43-B057-EE233335DD63}"/>
              </c:ext>
            </c:extLst>
          </c:dPt>
          <c:dPt>
            <c:idx val="4"/>
            <c:bubble3D val="0"/>
            <c:spPr>
              <a:solidFill>
                <a:srgbClr val="DDEEF7"/>
              </a:solidFill>
              <a:ln w="19050">
                <a:solidFill>
                  <a:schemeClr val="lt1"/>
                </a:solidFill>
              </a:ln>
              <a:effectLst/>
            </c:spPr>
            <c:extLst>
              <c:ext xmlns:c16="http://schemas.microsoft.com/office/drawing/2014/chart" uri="{C3380CC4-5D6E-409C-BE32-E72D297353CC}">
                <c16:uniqueId val="{00000005-F8D6-4F43-B057-EE233335DD63}"/>
              </c:ext>
            </c:extLst>
          </c:dPt>
          <c:dLbls>
            <c:dLbl>
              <c:idx val="0"/>
              <c:tx>
                <c:rich>
                  <a:bodyPr/>
                  <a:lstStyle/>
                  <a:p>
                    <a:r>
                      <a:rPr lang="en-US"/>
                      <a:t>Reuse</a:t>
                    </a:r>
                  </a:p>
                  <a:p>
                    <a:fld id="{143A60BD-C429-4B0F-AF80-8BF20430B3EE}" type="PERCENTAGE">
                      <a:rPr lang="en-US"/>
                      <a:pPr/>
                      <a:t>[PERCENTAGE]</a:t>
                    </a:fld>
                    <a:endParaRPr lang="en-AU"/>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8D6-4F43-B057-EE233335DD63}"/>
                </c:ext>
              </c:extLst>
            </c:dLbl>
            <c:dLbl>
              <c:idx val="1"/>
              <c:tx>
                <c:rich>
                  <a:bodyPr/>
                  <a:lstStyle/>
                  <a:p>
                    <a:r>
                      <a:rPr lang="en-US"/>
                      <a:t>Recycle</a:t>
                    </a:r>
                  </a:p>
                  <a:p>
                    <a:fld id="{FB2F67C1-56A5-4D98-9407-13D0D03E4AA6}" type="PERCENTAGE">
                      <a:rPr lang="en-US"/>
                      <a:pPr/>
                      <a:t>[PERCENTAGE]</a:t>
                    </a:fld>
                    <a:endParaRPr lang="en-AU"/>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8D6-4F43-B057-EE233335DD63}"/>
                </c:ext>
              </c:extLst>
            </c:dLbl>
            <c:dLbl>
              <c:idx val="2"/>
              <c:tx>
                <c:rich>
                  <a:bodyPr/>
                  <a:lstStyle/>
                  <a:p>
                    <a:r>
                      <a:rPr lang="en-US"/>
                      <a:t>Recover</a:t>
                    </a:r>
                  </a:p>
                  <a:p>
                    <a:fld id="{59681A00-3919-4CCB-AB27-1751CC6A240E}" type="PERCENTAGE">
                      <a:rPr lang="en-US"/>
                      <a:pPr/>
                      <a:t>[PERCENTAGE]</a:t>
                    </a:fld>
                    <a:endParaRPr lang="en-AU"/>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8D6-4F43-B057-EE233335DD63}"/>
                </c:ext>
              </c:extLst>
            </c:dLbl>
            <c:dLbl>
              <c:idx val="3"/>
              <c:tx>
                <c:rich>
                  <a:bodyPr/>
                  <a:lstStyle/>
                  <a:p>
                    <a:r>
                      <a:rPr lang="en-US"/>
                      <a:t>Landfill </a:t>
                    </a:r>
                  </a:p>
                  <a:p>
                    <a:fld id="{F9CA8CF2-98C3-4D7A-BBEA-C7A2F9DAC9A7}" type="PERCENTAGE">
                      <a:rPr lang="en-US"/>
                      <a:pPr/>
                      <a:t>[PERCENTAGE]</a:t>
                    </a:fld>
                    <a:endParaRPr lang="en-AU"/>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F8D6-4F43-B057-EE233335DD63}"/>
                </c:ext>
              </c:extLst>
            </c:dLbl>
            <c:dLbl>
              <c:idx val="4"/>
              <c:tx>
                <c:rich>
                  <a:bodyPr/>
                  <a:lstStyle/>
                  <a:p>
                    <a:r>
                      <a:rPr lang="en-US" sz="1050"/>
                      <a:t>Diversion from landfill</a:t>
                    </a:r>
                    <a:r>
                      <a:rPr lang="en-US" sz="1050" baseline="0"/>
                      <a:t> </a:t>
                    </a:r>
                    <a:fld id="{7CDE2A4C-F9C8-4946-A2E1-608745C1AA6D}" type="PERCENTAGE">
                      <a:rPr lang="en-US" sz="1050"/>
                      <a:pPr/>
                      <a:t>[PERCENTAGE]</a:t>
                    </a:fld>
                    <a:endParaRPr lang="en-US" sz="1050" baseline="0"/>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F8D6-4F43-B057-EE233335DD63}"/>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50000"/>
                        <a:lumOff val="50000"/>
                      </a:schemeClr>
                    </a:solidFill>
                    <a:latin typeface="Microsoft PhagsPa" panose="020B0502040204020203" pitchFamily="34" charset="0"/>
                    <a:ea typeface="+mn-ea"/>
                    <a:cs typeface="+mn-cs"/>
                  </a:defRPr>
                </a:pPr>
                <a:endParaRPr lang="en-US"/>
              </a:p>
            </c:txPr>
            <c:dLblPos val="bestFit"/>
            <c:showLegendKey val="0"/>
            <c:showVal val="0"/>
            <c:showCatName val="0"/>
            <c:showSerName val="0"/>
            <c:showPercent val="1"/>
            <c:showBubbleSize val="0"/>
            <c:showLeaderLines val="0"/>
            <c:extLst>
              <c:ext xmlns:c15="http://schemas.microsoft.com/office/drawing/2012/chart" uri="{CE6537A1-D6FC-4f65-9D91-7224C49458BB}"/>
            </c:extLst>
          </c:dLbls>
          <c:cat>
            <c:strRef>
              <c:f>('3 Waste Report'!$C$35,'3 Waste Report'!$C$36,'3 Waste Report'!$C$37,'3 Waste Report'!$C$38)</c:f>
              <c:strCache>
                <c:ptCount val="4"/>
                <c:pt idx="0">
                  <c:v>Reuse</c:v>
                </c:pt>
                <c:pt idx="1">
                  <c:v>Recycle</c:v>
                </c:pt>
                <c:pt idx="2">
                  <c:v>Recover for energy</c:v>
                </c:pt>
                <c:pt idx="3">
                  <c:v>Treat/Dispose</c:v>
                </c:pt>
              </c:strCache>
            </c:strRef>
          </c:cat>
          <c:val>
            <c:numRef>
              <c:f>('3 Waste Report'!$D$35,'3 Waste Report'!$D$36,'3 Waste Report'!$D$37,'3 Waste Report'!$D$38)</c:f>
              <c:numCache>
                <c:formatCode>0.00</c:formatCode>
                <c:ptCount val="4"/>
                <c:pt idx="0">
                  <c:v>0</c:v>
                </c:pt>
                <c:pt idx="1">
                  <c:v>0</c:v>
                </c:pt>
                <c:pt idx="2">
                  <c:v>0</c:v>
                </c:pt>
                <c:pt idx="3">
                  <c:v>0</c:v>
                </c:pt>
              </c:numCache>
            </c:numRef>
          </c:val>
          <c:extLst>
            <c:ext xmlns:c16="http://schemas.microsoft.com/office/drawing/2014/chart" uri="{C3380CC4-5D6E-409C-BE32-E72D297353CC}">
              <c16:uniqueId val="{00000000-F8D6-4F43-B057-EE233335DD63}"/>
            </c:ext>
          </c:extLst>
        </c:ser>
        <c:dLbls>
          <c:showLegendKey val="0"/>
          <c:showVal val="0"/>
          <c:showCatName val="0"/>
          <c:showSerName val="0"/>
          <c:showPercent val="0"/>
          <c:showBubbleSize val="0"/>
          <c:showLeaderLines val="0"/>
        </c:dLbls>
        <c:gapWidth val="100"/>
        <c:splitType val="cust"/>
        <c:custSplit>
          <c:secondPiePt val="0"/>
          <c:secondPiePt val="1"/>
          <c:secondPiePt val="2"/>
        </c:custSplit>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85000"/>
        </a:schemeClr>
      </a:solidFill>
      <a:round/>
    </a:ln>
    <a:effectLst/>
  </c:spPr>
  <c:txPr>
    <a:bodyPr/>
    <a:lstStyle/>
    <a:p>
      <a:pPr>
        <a:defRPr>
          <a:latin typeface="Microsoft PhagsPa" panose="020B0502040204020203"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600" b="1" i="0" u="none" strike="noStrike" kern="1200" spc="0" baseline="0">
                <a:solidFill>
                  <a:schemeClr val="tx1">
                    <a:lumMod val="50000"/>
                    <a:lumOff val="50000"/>
                  </a:schemeClr>
                </a:solidFill>
                <a:latin typeface="Microsoft PhagsPa" panose="020B0502040204020203" pitchFamily="34" charset="0"/>
                <a:ea typeface="Microsoft GothicNeo" panose="020B0503020000020004" pitchFamily="34" charset="-127"/>
                <a:cs typeface="Microsoft GothicNeo" panose="020B0503020000020004" pitchFamily="34" charset="-127"/>
              </a:defRPr>
            </a:pPr>
            <a:r>
              <a:rPr lang="en-AU" sz="1600" b="1"/>
              <a:t>Net</a:t>
            </a:r>
            <a:r>
              <a:rPr lang="en-AU" sz="1600" b="1" baseline="0"/>
              <a:t> waste management costs for the Organisation</a:t>
            </a:r>
            <a:endParaRPr lang="en-AU" sz="1600" b="1"/>
          </a:p>
        </c:rich>
      </c:tx>
      <c:layout>
        <c:manualLayout>
          <c:xMode val="edge"/>
          <c:yMode val="edge"/>
          <c:x val="6.4886323131652882E-4"/>
          <c:y val="0"/>
        </c:manualLayout>
      </c:layout>
      <c:overlay val="0"/>
      <c:spPr>
        <a:noFill/>
        <a:ln>
          <a:noFill/>
        </a:ln>
        <a:effectLst/>
      </c:spPr>
      <c:txPr>
        <a:bodyPr rot="0" spcFirstLastPara="1" vertOverflow="ellipsis" vert="horz" wrap="square" anchor="ctr" anchorCtr="1"/>
        <a:lstStyle/>
        <a:p>
          <a:pPr algn="l">
            <a:defRPr sz="1600" b="1" i="0" u="none" strike="noStrike" kern="1200" spc="0" baseline="0">
              <a:solidFill>
                <a:schemeClr val="tx1">
                  <a:lumMod val="50000"/>
                  <a:lumOff val="50000"/>
                </a:schemeClr>
              </a:solidFill>
              <a:latin typeface="Microsoft PhagsPa" panose="020B0502040204020203" pitchFamily="34" charset="0"/>
              <a:ea typeface="Microsoft GothicNeo" panose="020B0503020000020004" pitchFamily="34" charset="-127"/>
              <a:cs typeface="Microsoft GothicNeo" panose="020B0503020000020004" pitchFamily="34" charset="-127"/>
            </a:defRPr>
          </a:pPr>
          <a:endParaRPr lang="en-US"/>
        </a:p>
      </c:txPr>
    </c:title>
    <c:autoTitleDeleted val="0"/>
    <c:plotArea>
      <c:layout>
        <c:manualLayout>
          <c:layoutTarget val="inner"/>
          <c:xMode val="edge"/>
          <c:yMode val="edge"/>
          <c:x val="8.773625605258098E-2"/>
          <c:y val="0.19579494087503557"/>
          <c:w val="0.89450367961962707"/>
          <c:h val="0.70462153773512848"/>
        </c:manualLayout>
      </c:layout>
      <c:barChart>
        <c:barDir val="col"/>
        <c:grouping val="clustered"/>
        <c:varyColors val="0"/>
        <c:ser>
          <c:idx val="0"/>
          <c:order val="0"/>
          <c:spPr>
            <a:solidFill>
              <a:schemeClr val="accent1"/>
            </a:solidFill>
            <a:ln w="19050">
              <a:solidFill>
                <a:schemeClr val="lt1"/>
              </a:solidFill>
            </a:ln>
            <a:effectLst/>
          </c:spPr>
          <c:invertIfNegative val="0"/>
          <c:dPt>
            <c:idx val="0"/>
            <c:invertIfNegative val="0"/>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1-7F34-4BD1-AF3B-5D0316ECF1D6}"/>
              </c:ext>
            </c:extLst>
          </c:dPt>
          <c:dPt>
            <c:idx val="1"/>
            <c:invertIfNegative val="0"/>
            <c:bubble3D val="0"/>
            <c:spPr>
              <a:solidFill>
                <a:srgbClr val="FFFFB3"/>
              </a:solidFill>
              <a:ln w="19050">
                <a:solidFill>
                  <a:schemeClr val="lt1"/>
                </a:solidFill>
              </a:ln>
              <a:effectLst/>
            </c:spPr>
            <c:extLst>
              <c:ext xmlns:c16="http://schemas.microsoft.com/office/drawing/2014/chart" uri="{C3380CC4-5D6E-409C-BE32-E72D297353CC}">
                <c16:uniqueId val="{00000002-7F34-4BD1-AF3B-5D0316ECF1D6}"/>
              </c:ext>
            </c:extLst>
          </c:dPt>
          <c:dPt>
            <c:idx val="2"/>
            <c:invertIfNegative val="0"/>
            <c:bubble3D val="0"/>
            <c:spPr>
              <a:solidFill>
                <a:schemeClr val="accent4">
                  <a:lumMod val="40000"/>
                  <a:lumOff val="60000"/>
                </a:schemeClr>
              </a:solidFill>
              <a:ln w="19050">
                <a:solidFill>
                  <a:schemeClr val="lt1"/>
                </a:solidFill>
              </a:ln>
              <a:effectLst/>
            </c:spPr>
            <c:extLst>
              <c:ext xmlns:c16="http://schemas.microsoft.com/office/drawing/2014/chart" uri="{C3380CC4-5D6E-409C-BE32-E72D297353CC}">
                <c16:uniqueId val="{00000003-7F34-4BD1-AF3B-5D0316ECF1D6}"/>
              </c:ext>
            </c:extLst>
          </c:dPt>
          <c:dPt>
            <c:idx val="3"/>
            <c:invertIfNegative val="0"/>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4-7F34-4BD1-AF3B-5D0316ECF1D6}"/>
              </c:ext>
            </c:extLst>
          </c:dPt>
          <c:dLbls>
            <c:numFmt formatCode="&quot;$&quot;#,##0&quot; year&quot;"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50000"/>
                        <a:lumOff val="50000"/>
                      </a:schemeClr>
                    </a:solidFill>
                    <a:latin typeface="Microsoft PhagsPa" panose="020B0502040204020203" pitchFamily="34" charset="0"/>
                    <a:ea typeface="Microsoft GothicNeo" panose="020B0503020000020004" pitchFamily="34" charset="-127"/>
                    <a:cs typeface="Microsoft GothicNeo" panose="020B0503020000020004" pitchFamily="34" charset="-127"/>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Waste Report'!$C$147:$C$150</c:f>
              <c:strCache>
                <c:ptCount val="4"/>
                <c:pt idx="0">
                  <c:v>Reuse</c:v>
                </c:pt>
                <c:pt idx="1">
                  <c:v>Recycle</c:v>
                </c:pt>
                <c:pt idx="2">
                  <c:v>Recover for energy</c:v>
                </c:pt>
                <c:pt idx="3">
                  <c:v>Treat/Dispose</c:v>
                </c:pt>
              </c:strCache>
            </c:strRef>
          </c:cat>
          <c:val>
            <c:numRef>
              <c:f>'3 Waste Report'!$E$147:$E$150</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7F34-4BD1-AF3B-5D0316ECF1D6}"/>
            </c:ext>
          </c:extLst>
        </c:ser>
        <c:dLbls>
          <c:showLegendKey val="0"/>
          <c:showVal val="0"/>
          <c:showCatName val="0"/>
          <c:showSerName val="0"/>
          <c:showPercent val="0"/>
          <c:showBubbleSize val="0"/>
        </c:dLbls>
        <c:gapWidth val="150"/>
        <c:axId val="1005168320"/>
        <c:axId val="1005167072"/>
      </c:barChart>
      <c:valAx>
        <c:axId val="1005167072"/>
        <c:scaling>
          <c:orientation val="minMax"/>
        </c:scaling>
        <c:delete val="0"/>
        <c:axPos val="l"/>
        <c:majorGridlines>
          <c:spPr>
            <a:ln w="9525" cap="flat" cmpd="sng" algn="ctr">
              <a:solidFill>
                <a:schemeClr val="bg1">
                  <a:lumMod val="95000"/>
                </a:schemeClr>
              </a:solidFill>
              <a:round/>
            </a:ln>
            <a:effectLst/>
          </c:spPr>
        </c:majorGridlines>
        <c:numFmt formatCode="&quot;$&quot;#,##0_);[Red]\(&quot;$&quot;#,##0\)" sourceLinked="1"/>
        <c:majorTickMark val="out"/>
        <c:minorTickMark val="none"/>
        <c:tickLblPos val="low"/>
        <c:spPr>
          <a:noFill/>
          <a:ln>
            <a:noFill/>
          </a:ln>
          <a:effectLst/>
        </c:spPr>
        <c:txPr>
          <a:bodyPr rot="-60000000" spcFirstLastPara="1" vertOverflow="ellipsis" vert="horz" wrap="square" anchor="ctr" anchorCtr="1"/>
          <a:lstStyle/>
          <a:p>
            <a:pPr>
              <a:defRPr sz="1100" b="0" i="0" u="none" strike="noStrike" kern="1200" baseline="0">
                <a:solidFill>
                  <a:schemeClr val="tx1">
                    <a:lumMod val="50000"/>
                    <a:lumOff val="50000"/>
                  </a:schemeClr>
                </a:solidFill>
                <a:latin typeface="Microsoft PhagsPa" panose="020B0502040204020203" pitchFamily="34" charset="0"/>
                <a:ea typeface="Microsoft GothicNeo" panose="020B0503020000020004" pitchFamily="34" charset="-127"/>
                <a:cs typeface="Microsoft GothicNeo" panose="020B0503020000020004" pitchFamily="34" charset="-127"/>
              </a:defRPr>
            </a:pPr>
            <a:endParaRPr lang="en-US"/>
          </a:p>
        </c:txPr>
        <c:crossAx val="1005168320"/>
        <c:crosses val="autoZero"/>
        <c:crossBetween val="between"/>
      </c:valAx>
      <c:catAx>
        <c:axId val="100516832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50000"/>
                    <a:lumOff val="50000"/>
                  </a:schemeClr>
                </a:solidFill>
                <a:latin typeface="Microsoft PhagsPa" panose="020B0502040204020203" pitchFamily="34" charset="0"/>
                <a:ea typeface="Microsoft GothicNeo" panose="020B0503020000020004" pitchFamily="34" charset="-127"/>
                <a:cs typeface="Microsoft GothicNeo" panose="020B0503020000020004" pitchFamily="34" charset="-127"/>
              </a:defRPr>
            </a:pPr>
            <a:endParaRPr lang="en-US"/>
          </a:p>
        </c:txPr>
        <c:crossAx val="1005167072"/>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bg1">
          <a:lumMod val="85000"/>
        </a:schemeClr>
      </a:solidFill>
      <a:round/>
    </a:ln>
    <a:effectLst/>
  </c:spPr>
  <c:txPr>
    <a:bodyPr/>
    <a:lstStyle/>
    <a:p>
      <a:pPr>
        <a:defRPr sz="1100">
          <a:solidFill>
            <a:schemeClr val="tx1">
              <a:lumMod val="50000"/>
              <a:lumOff val="50000"/>
            </a:schemeClr>
          </a:solidFill>
          <a:latin typeface="Microsoft PhagsPa" panose="020B0502040204020203" pitchFamily="34" charset="0"/>
          <a:ea typeface="Microsoft GothicNeo" panose="020B0503020000020004" pitchFamily="34" charset="-127"/>
          <a:cs typeface="Microsoft GothicNeo" panose="020B0503020000020004" pitchFamily="34" charset="-127"/>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chart" Target="../charts/chart2.xml"/><Relationship Id="rId7" Type="http://schemas.openxmlformats.org/officeDocument/2006/relationships/image" Target="../media/image5.svg"/><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image" Target="../media/image4.png"/><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image" Target="../media/image14.jpeg"/><Relationship Id="rId3" Type="http://schemas.openxmlformats.org/officeDocument/2006/relationships/image" Target="../media/image9.jpeg"/><Relationship Id="rId7" Type="http://schemas.openxmlformats.org/officeDocument/2006/relationships/image" Target="../media/image13.jpeg"/><Relationship Id="rId2" Type="http://schemas.openxmlformats.org/officeDocument/2006/relationships/image" Target="../media/image8.jpeg"/><Relationship Id="rId1" Type="http://schemas.openxmlformats.org/officeDocument/2006/relationships/image" Target="../media/image7.jpeg"/><Relationship Id="rId6" Type="http://schemas.openxmlformats.org/officeDocument/2006/relationships/image" Target="../media/image12.jpeg"/><Relationship Id="rId5" Type="http://schemas.openxmlformats.org/officeDocument/2006/relationships/image" Target="../media/image11.jpeg"/><Relationship Id="rId10" Type="http://schemas.openxmlformats.org/officeDocument/2006/relationships/image" Target="../media/image16.jpeg"/><Relationship Id="rId4" Type="http://schemas.openxmlformats.org/officeDocument/2006/relationships/image" Target="../media/image10.jpeg"/><Relationship Id="rId9" Type="http://schemas.openxmlformats.org/officeDocument/2006/relationships/image" Target="../media/image15.jpeg"/></Relationships>
</file>

<file path=xl/drawings/drawing1.xml><?xml version="1.0" encoding="utf-8"?>
<xdr:wsDr xmlns:xdr="http://schemas.openxmlformats.org/drawingml/2006/spreadsheetDrawing" xmlns:a="http://schemas.openxmlformats.org/drawingml/2006/main">
  <xdr:twoCellAnchor>
    <xdr:from>
      <xdr:col>2</xdr:col>
      <xdr:colOff>67660</xdr:colOff>
      <xdr:row>68</xdr:row>
      <xdr:rowOff>87789</xdr:rowOff>
    </xdr:from>
    <xdr:to>
      <xdr:col>4</xdr:col>
      <xdr:colOff>880647</xdr:colOff>
      <xdr:row>86</xdr:row>
      <xdr:rowOff>98975</xdr:rowOff>
    </xdr:to>
    <xdr:graphicFrame macro="">
      <xdr:nvGraphicFramePr>
        <xdr:cNvPr id="4" name="Chart 3">
          <a:extLst>
            <a:ext uri="{FF2B5EF4-FFF2-40B4-BE49-F238E27FC236}">
              <a16:creationId xmlns:a16="http://schemas.microsoft.com/office/drawing/2014/main" id="{0C598CEC-6EF5-A630-65E5-6D78C5DD39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237021</xdr:colOff>
      <xdr:row>7</xdr:row>
      <xdr:rowOff>64328</xdr:rowOff>
    </xdr:from>
    <xdr:to>
      <xdr:col>3</xdr:col>
      <xdr:colOff>200017</xdr:colOff>
      <xdr:row>26</xdr:row>
      <xdr:rowOff>124636</xdr:rowOff>
    </xdr:to>
    <xdr:pic>
      <xdr:nvPicPr>
        <xdr:cNvPr id="13" name="Picture 12">
          <a:extLst>
            <a:ext uri="{FF2B5EF4-FFF2-40B4-BE49-F238E27FC236}">
              <a16:creationId xmlns:a16="http://schemas.microsoft.com/office/drawing/2014/main" id="{565CE801-8ADF-CE6A-0A0A-84A8DFC8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114" r="3114"/>
        <a:stretch/>
      </xdr:blipFill>
      <xdr:spPr bwMode="auto">
        <a:xfrm>
          <a:off x="237021" y="4426778"/>
          <a:ext cx="4614372" cy="3676633"/>
        </a:xfrm>
        <a:prstGeom prst="rect">
          <a:avLst/>
        </a:prstGeom>
        <a:ln>
          <a:noFill/>
        </a:ln>
        <a:extLst>
          <a:ext uri="{53640926-AAD7-44D8-BBD7-CCE9431645EC}">
            <a14:shadowObscured xmlns:a14="http://schemas.microsoft.com/office/drawing/2010/main"/>
          </a:ext>
        </a:extLst>
      </xdr:spPr>
    </xdr:pic>
    <xdr:clientData/>
  </xdr:twoCellAnchor>
  <xdr:twoCellAnchor>
    <xdr:from>
      <xdr:col>2</xdr:col>
      <xdr:colOff>11111</xdr:colOff>
      <xdr:row>151</xdr:row>
      <xdr:rowOff>49211</xdr:rowOff>
    </xdr:from>
    <xdr:to>
      <xdr:col>4</xdr:col>
      <xdr:colOff>808811</xdr:colOff>
      <xdr:row>169</xdr:row>
      <xdr:rowOff>1561</xdr:rowOff>
    </xdr:to>
    <xdr:graphicFrame macro="">
      <xdr:nvGraphicFramePr>
        <xdr:cNvPr id="2" name="Chart 1">
          <a:extLst>
            <a:ext uri="{FF2B5EF4-FFF2-40B4-BE49-F238E27FC236}">
              <a16:creationId xmlns:a16="http://schemas.microsoft.com/office/drawing/2014/main" id="{73167211-F96C-9AC6-F3EF-927AD314A5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4</xdr:col>
      <xdr:colOff>926386</xdr:colOff>
      <xdr:row>103</xdr:row>
      <xdr:rowOff>153355</xdr:rowOff>
    </xdr:from>
    <xdr:to>
      <xdr:col>4</xdr:col>
      <xdr:colOff>1837611</xdr:colOff>
      <xdr:row>107</xdr:row>
      <xdr:rowOff>60037</xdr:rowOff>
    </xdr:to>
    <xdr:pic>
      <xdr:nvPicPr>
        <xdr:cNvPr id="5" name="Graphic 4" descr="Car with solid fill">
          <a:extLst>
            <a:ext uri="{FF2B5EF4-FFF2-40B4-BE49-F238E27FC236}">
              <a16:creationId xmlns:a16="http://schemas.microsoft.com/office/drawing/2014/main" id="{F059CE6F-05EB-7379-A7DC-54D168E4F8D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7517686" y="23661055"/>
          <a:ext cx="914400" cy="894108"/>
        </a:xfrm>
        <a:prstGeom prst="rect">
          <a:avLst/>
        </a:prstGeom>
      </xdr:spPr>
    </xdr:pic>
    <xdr:clientData/>
  </xdr:twoCellAnchor>
  <xdr:twoCellAnchor editAs="oneCell">
    <xdr:from>
      <xdr:col>4</xdr:col>
      <xdr:colOff>884402</xdr:colOff>
      <xdr:row>98</xdr:row>
      <xdr:rowOff>85194</xdr:rowOff>
    </xdr:from>
    <xdr:to>
      <xdr:col>4</xdr:col>
      <xdr:colOff>1808327</xdr:colOff>
      <xdr:row>102</xdr:row>
      <xdr:rowOff>30047</xdr:rowOff>
    </xdr:to>
    <xdr:pic>
      <xdr:nvPicPr>
        <xdr:cNvPr id="7" name="Graphic 6" descr="Deciduous tree with solid fill">
          <a:extLst>
            <a:ext uri="{FF2B5EF4-FFF2-40B4-BE49-F238E27FC236}">
              <a16:creationId xmlns:a16="http://schemas.microsoft.com/office/drawing/2014/main" id="{281938FC-342B-3945-9874-C3773E34285A}"/>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475702" y="22449894"/>
          <a:ext cx="923925" cy="856079"/>
        </a:xfrm>
        <a:prstGeom prst="rect">
          <a:avLst/>
        </a:prstGeom>
      </xdr:spPr>
    </xdr:pic>
    <xdr:clientData/>
  </xdr:twoCellAnchor>
  <xdr:twoCellAnchor editAs="oneCell">
    <xdr:from>
      <xdr:col>3</xdr:col>
      <xdr:colOff>557852</xdr:colOff>
      <xdr:row>6</xdr:row>
      <xdr:rowOff>104085</xdr:rowOff>
    </xdr:from>
    <xdr:to>
      <xdr:col>5</xdr:col>
      <xdr:colOff>1486453</xdr:colOff>
      <xdr:row>27</xdr:row>
      <xdr:rowOff>154077</xdr:rowOff>
    </xdr:to>
    <xdr:pic>
      <xdr:nvPicPr>
        <xdr:cNvPr id="8" name="Picture 7">
          <a:extLst>
            <a:ext uri="{FF2B5EF4-FFF2-40B4-BE49-F238E27FC236}">
              <a16:creationId xmlns:a16="http://schemas.microsoft.com/office/drawing/2014/main" id="{16D24A7E-1C7D-4D66-9F42-9A3F22E8CB3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xdr:blipFill>
      <xdr:spPr>
        <a:xfrm>
          <a:off x="5444591" y="4079737"/>
          <a:ext cx="5069905" cy="40504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460186</xdr:colOff>
      <xdr:row>4</xdr:row>
      <xdr:rowOff>160056</xdr:rowOff>
    </xdr:from>
    <xdr:to>
      <xdr:col>2</xdr:col>
      <xdr:colOff>1544196</xdr:colOff>
      <xdr:row>4</xdr:row>
      <xdr:rowOff>1240446</xdr:rowOff>
    </xdr:to>
    <xdr:pic>
      <xdr:nvPicPr>
        <xdr:cNvPr id="3" name="Picture 2">
          <a:extLst>
            <a:ext uri="{FF2B5EF4-FFF2-40B4-BE49-F238E27FC236}">
              <a16:creationId xmlns:a16="http://schemas.microsoft.com/office/drawing/2014/main" id="{2D904BD0-59AE-4222-BD4B-0E6323BE37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4539" y="2199527"/>
          <a:ext cx="1068135" cy="1081660"/>
        </a:xfrm>
        <a:prstGeom prst="rect">
          <a:avLst/>
        </a:prstGeom>
      </xdr:spPr>
    </xdr:pic>
    <xdr:clientData/>
  </xdr:twoCellAnchor>
  <xdr:twoCellAnchor editAs="oneCell">
    <xdr:from>
      <xdr:col>2</xdr:col>
      <xdr:colOff>532653</xdr:colOff>
      <xdr:row>3</xdr:row>
      <xdr:rowOff>240657</xdr:rowOff>
    </xdr:from>
    <xdr:to>
      <xdr:col>2</xdr:col>
      <xdr:colOff>1463749</xdr:colOff>
      <xdr:row>3</xdr:row>
      <xdr:rowOff>1158756</xdr:rowOff>
    </xdr:to>
    <xdr:pic>
      <xdr:nvPicPr>
        <xdr:cNvPr id="4" name="Picture 3">
          <a:extLst>
            <a:ext uri="{FF2B5EF4-FFF2-40B4-BE49-F238E27FC236}">
              <a16:creationId xmlns:a16="http://schemas.microsoft.com/office/drawing/2014/main" id="{D98CD931-6109-4A43-B065-964DFF0189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67006" y="2280128"/>
          <a:ext cx="924111" cy="913654"/>
        </a:xfrm>
        <a:prstGeom prst="rect">
          <a:avLst/>
        </a:prstGeom>
      </xdr:spPr>
    </xdr:pic>
    <xdr:clientData/>
  </xdr:twoCellAnchor>
  <xdr:twoCellAnchor editAs="oneCell">
    <xdr:from>
      <xdr:col>2</xdr:col>
      <xdr:colOff>434041</xdr:colOff>
      <xdr:row>5</xdr:row>
      <xdr:rowOff>141113</xdr:rowOff>
    </xdr:from>
    <xdr:to>
      <xdr:col>2</xdr:col>
      <xdr:colOff>1508573</xdr:colOff>
      <xdr:row>5</xdr:row>
      <xdr:rowOff>1198500</xdr:rowOff>
    </xdr:to>
    <xdr:pic>
      <xdr:nvPicPr>
        <xdr:cNvPr id="6" name="Picture 5">
          <a:extLst>
            <a:ext uri="{FF2B5EF4-FFF2-40B4-BE49-F238E27FC236}">
              <a16:creationId xmlns:a16="http://schemas.microsoft.com/office/drawing/2014/main" id="{743F04B4-5AFF-4586-A8FD-E3765F16922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68394" y="3502878"/>
          <a:ext cx="1070722" cy="1064372"/>
        </a:xfrm>
        <a:prstGeom prst="rect">
          <a:avLst/>
        </a:prstGeom>
      </xdr:spPr>
    </xdr:pic>
    <xdr:clientData/>
  </xdr:twoCellAnchor>
  <xdr:twoCellAnchor editAs="oneCell">
    <xdr:from>
      <xdr:col>2</xdr:col>
      <xdr:colOff>406772</xdr:colOff>
      <xdr:row>6</xdr:row>
      <xdr:rowOff>134843</xdr:rowOff>
    </xdr:from>
    <xdr:to>
      <xdr:col>2</xdr:col>
      <xdr:colOff>1541742</xdr:colOff>
      <xdr:row>6</xdr:row>
      <xdr:rowOff>1276163</xdr:rowOff>
    </xdr:to>
    <xdr:pic>
      <xdr:nvPicPr>
        <xdr:cNvPr id="8" name="Picture 7">
          <a:extLst>
            <a:ext uri="{FF2B5EF4-FFF2-40B4-BE49-F238E27FC236}">
              <a16:creationId xmlns:a16="http://schemas.microsoft.com/office/drawing/2014/main" id="{AEBD85EF-BAA1-4FCE-841D-98BE62FBFD3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841125" y="4818902"/>
          <a:ext cx="1150845" cy="1157195"/>
        </a:xfrm>
        <a:prstGeom prst="rect">
          <a:avLst/>
        </a:prstGeom>
      </xdr:spPr>
    </xdr:pic>
    <xdr:clientData/>
  </xdr:twoCellAnchor>
  <xdr:twoCellAnchor editAs="oneCell">
    <xdr:from>
      <xdr:col>2</xdr:col>
      <xdr:colOff>372595</xdr:colOff>
      <xdr:row>7</xdr:row>
      <xdr:rowOff>89901</xdr:rowOff>
    </xdr:from>
    <xdr:to>
      <xdr:col>2</xdr:col>
      <xdr:colOff>1541743</xdr:colOff>
      <xdr:row>7</xdr:row>
      <xdr:rowOff>1273206</xdr:rowOff>
    </xdr:to>
    <xdr:pic>
      <xdr:nvPicPr>
        <xdr:cNvPr id="10" name="Picture 9">
          <a:extLst>
            <a:ext uri="{FF2B5EF4-FFF2-40B4-BE49-F238E27FC236}">
              <a16:creationId xmlns:a16="http://schemas.microsoft.com/office/drawing/2014/main" id="{125856A9-D36B-480D-8A31-D02177795A1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806948" y="6096254"/>
          <a:ext cx="1178673" cy="1187115"/>
        </a:xfrm>
        <a:prstGeom prst="rect">
          <a:avLst/>
        </a:prstGeom>
      </xdr:spPr>
    </xdr:pic>
    <xdr:clientData/>
  </xdr:twoCellAnchor>
  <xdr:twoCellAnchor editAs="oneCell">
    <xdr:from>
      <xdr:col>2</xdr:col>
      <xdr:colOff>426569</xdr:colOff>
      <xdr:row>8</xdr:row>
      <xdr:rowOff>134470</xdr:rowOff>
    </xdr:from>
    <xdr:to>
      <xdr:col>2</xdr:col>
      <xdr:colOff>1526445</xdr:colOff>
      <xdr:row>8</xdr:row>
      <xdr:rowOff>1235142</xdr:rowOff>
    </xdr:to>
    <xdr:pic>
      <xdr:nvPicPr>
        <xdr:cNvPr id="12" name="Picture 11">
          <a:extLst>
            <a:ext uri="{FF2B5EF4-FFF2-40B4-BE49-F238E27FC236}">
              <a16:creationId xmlns:a16="http://schemas.microsoft.com/office/drawing/2014/main" id="{4FDACD06-0CBB-4BB5-B567-BE191FBCF37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860922" y="7463117"/>
          <a:ext cx="1099876" cy="1099402"/>
        </a:xfrm>
        <a:prstGeom prst="rect">
          <a:avLst/>
        </a:prstGeom>
      </xdr:spPr>
    </xdr:pic>
    <xdr:clientData/>
  </xdr:twoCellAnchor>
  <xdr:twoCellAnchor editAs="oneCell">
    <xdr:from>
      <xdr:col>2</xdr:col>
      <xdr:colOff>332442</xdr:colOff>
      <xdr:row>9</xdr:row>
      <xdr:rowOff>63806</xdr:rowOff>
    </xdr:from>
    <xdr:to>
      <xdr:col>2</xdr:col>
      <xdr:colOff>1583616</xdr:colOff>
      <xdr:row>9</xdr:row>
      <xdr:rowOff>1312359</xdr:rowOff>
    </xdr:to>
    <xdr:pic>
      <xdr:nvPicPr>
        <xdr:cNvPr id="14" name="Picture 13">
          <a:extLst>
            <a:ext uri="{FF2B5EF4-FFF2-40B4-BE49-F238E27FC236}">
              <a16:creationId xmlns:a16="http://schemas.microsoft.com/office/drawing/2014/main" id="{FCEBB0E5-772D-4408-ADB2-DA97CA72F37F}"/>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766795" y="8714747"/>
          <a:ext cx="1258794" cy="1240933"/>
        </a:xfrm>
        <a:prstGeom prst="rect">
          <a:avLst/>
        </a:prstGeom>
      </xdr:spPr>
    </xdr:pic>
    <xdr:clientData/>
  </xdr:twoCellAnchor>
  <xdr:twoCellAnchor editAs="oneCell">
    <xdr:from>
      <xdr:col>2</xdr:col>
      <xdr:colOff>320113</xdr:colOff>
      <xdr:row>10</xdr:row>
      <xdr:rowOff>35491</xdr:rowOff>
    </xdr:from>
    <xdr:to>
      <xdr:col>2</xdr:col>
      <xdr:colOff>1579394</xdr:colOff>
      <xdr:row>10</xdr:row>
      <xdr:rowOff>1278800</xdr:rowOff>
    </xdr:to>
    <xdr:pic>
      <xdr:nvPicPr>
        <xdr:cNvPr id="16" name="Picture 15">
          <a:extLst>
            <a:ext uri="{FF2B5EF4-FFF2-40B4-BE49-F238E27FC236}">
              <a16:creationId xmlns:a16="http://schemas.microsoft.com/office/drawing/2014/main" id="{F0977324-C12F-4A7F-B361-216AF7280E0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754466" y="10008726"/>
          <a:ext cx="1263091" cy="1250929"/>
        </a:xfrm>
        <a:prstGeom prst="rect">
          <a:avLst/>
        </a:prstGeom>
      </xdr:spPr>
    </xdr:pic>
    <xdr:clientData/>
  </xdr:twoCellAnchor>
  <xdr:twoCellAnchor editAs="oneCell">
    <xdr:from>
      <xdr:col>2</xdr:col>
      <xdr:colOff>240182</xdr:colOff>
      <xdr:row>11</xdr:row>
      <xdr:rowOff>79905</xdr:rowOff>
    </xdr:from>
    <xdr:to>
      <xdr:col>2</xdr:col>
      <xdr:colOff>1774751</xdr:colOff>
      <xdr:row>11</xdr:row>
      <xdr:rowOff>1273219</xdr:rowOff>
    </xdr:to>
    <xdr:pic>
      <xdr:nvPicPr>
        <xdr:cNvPr id="5" name="Picture 4">
          <a:extLst>
            <a:ext uri="{FF2B5EF4-FFF2-40B4-BE49-F238E27FC236}">
              <a16:creationId xmlns:a16="http://schemas.microsoft.com/office/drawing/2014/main" id="{1ED7C7CD-4FA9-4BA3-B210-5911AD58FDA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674535" y="11375434"/>
          <a:ext cx="1544729" cy="1189504"/>
        </a:xfrm>
        <a:prstGeom prst="rect">
          <a:avLst/>
        </a:prstGeom>
      </xdr:spPr>
    </xdr:pic>
    <xdr:clientData/>
  </xdr:twoCellAnchor>
  <xdr:twoCellAnchor editAs="oneCell">
    <xdr:from>
      <xdr:col>2</xdr:col>
      <xdr:colOff>88154</xdr:colOff>
      <xdr:row>13</xdr:row>
      <xdr:rowOff>589338</xdr:rowOff>
    </xdr:from>
    <xdr:to>
      <xdr:col>3</xdr:col>
      <xdr:colOff>635</xdr:colOff>
      <xdr:row>14</xdr:row>
      <xdr:rowOff>625811</xdr:rowOff>
    </xdr:to>
    <xdr:pic>
      <xdr:nvPicPr>
        <xdr:cNvPr id="9" name="Picture 8">
          <a:extLst>
            <a:ext uri="{FF2B5EF4-FFF2-40B4-BE49-F238E27FC236}">
              <a16:creationId xmlns:a16="http://schemas.microsoft.com/office/drawing/2014/main" id="{8E3089AE-E7E4-4BC6-B412-8D3350CF7436}"/>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522507" y="15851750"/>
          <a:ext cx="1820021" cy="135432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ristian Le Gallou" id="{F83A2CDB-5331-4044-9E98-BA5D2D2D7940}" userId="Kristian Le Gallou"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4" dT="2022-08-18T02:04:47.79" personId="{F83A2CDB-5331-4044-9E98-BA5D2D2D7940}" id="{261B0AB2-7D76-49B5-8470-BDCFB03698E0}">
    <text>Based on RAS factors and % splits</text>
  </threadedComment>
  <threadedComment ref="M7" dT="2022-08-18T02:04:47.79" personId="{F83A2CDB-5331-4044-9E98-BA5D2D2D7940}" id="{141814D2-62EF-447E-8CE9-78ADBAF0BF61}">
    <text>Based on RAS factors and % splits</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reenindustries.sa.gov.au/contact-u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C18"/>
  <sheetViews>
    <sheetView tabSelected="1" zoomScale="130" zoomScaleNormal="130" workbookViewId="0">
      <selection activeCell="B12" sqref="B12"/>
    </sheetView>
  </sheetViews>
  <sheetFormatPr defaultColWidth="0" defaultRowHeight="15" zeroHeight="1" x14ac:dyDescent="0.35"/>
  <cols>
    <col min="1" max="1" width="3.1796875" style="20" customWidth="1"/>
    <col min="2" max="2" width="104.26953125" style="20" customWidth="1"/>
    <col min="3" max="3" width="3.1796875" style="20" customWidth="1"/>
    <col min="4" max="16384" width="9.1796875" style="20" hidden="1"/>
  </cols>
  <sheetData>
    <row r="1" spans="1:3" ht="7.5" customHeight="1" x14ac:dyDescent="0.35"/>
    <row r="2" spans="1:3" ht="36" customHeight="1" x14ac:dyDescent="0.35">
      <c r="B2" s="91" t="s">
        <v>251</v>
      </c>
    </row>
    <row r="3" spans="1:3" ht="27" customHeight="1" x14ac:dyDescent="0.35">
      <c r="A3" s="92"/>
      <c r="B3" s="206" t="s">
        <v>320</v>
      </c>
      <c r="C3" s="92"/>
    </row>
    <row r="4" spans="1:3" s="66" customFormat="1" ht="30.5" customHeight="1" x14ac:dyDescent="0.35">
      <c r="B4" s="315" t="s">
        <v>13</v>
      </c>
    </row>
    <row r="5" spans="1:3" s="66" customFormat="1" ht="92.5" customHeight="1" x14ac:dyDescent="0.35">
      <c r="B5" s="6" t="s">
        <v>308</v>
      </c>
    </row>
    <row r="6" spans="1:3" s="66" customFormat="1" ht="30.5" customHeight="1" x14ac:dyDescent="0.35">
      <c r="B6" s="315" t="s">
        <v>256</v>
      </c>
    </row>
    <row r="7" spans="1:3" s="66" customFormat="1" ht="149" customHeight="1" x14ac:dyDescent="0.35">
      <c r="B7" s="6" t="s">
        <v>309</v>
      </c>
    </row>
    <row r="8" spans="1:3" s="66" customFormat="1" ht="30.5" customHeight="1" x14ac:dyDescent="0.35">
      <c r="B8" s="315" t="s">
        <v>187</v>
      </c>
    </row>
    <row r="9" spans="1:3" s="66" customFormat="1" ht="272.5" customHeight="1" x14ac:dyDescent="0.35">
      <c r="B9" s="314" t="s">
        <v>319</v>
      </c>
    </row>
    <row r="10" spans="1:3" s="66" customFormat="1" ht="30.5" customHeight="1" x14ac:dyDescent="0.35">
      <c r="B10" s="315" t="s">
        <v>53</v>
      </c>
    </row>
    <row r="11" spans="1:3" s="66" customFormat="1" ht="112" customHeight="1" x14ac:dyDescent="0.35">
      <c r="B11" s="81" t="s">
        <v>214</v>
      </c>
    </row>
    <row r="12" spans="1:3" s="66" customFormat="1" ht="30.5" customHeight="1" x14ac:dyDescent="0.35">
      <c r="B12" s="315" t="s">
        <v>52</v>
      </c>
    </row>
    <row r="13" spans="1:3" s="66" customFormat="1" ht="42" x14ac:dyDescent="0.35">
      <c r="B13" s="81" t="s">
        <v>267</v>
      </c>
    </row>
    <row r="14" spans="1:3" s="66" customFormat="1" ht="23" customHeight="1" x14ac:dyDescent="0.35">
      <c r="B14" s="220" t="s">
        <v>268</v>
      </c>
    </row>
    <row r="15" spans="1:3" s="66" customFormat="1" ht="30.5" customHeight="1" x14ac:dyDescent="0.35">
      <c r="B15" s="315" t="s">
        <v>15</v>
      </c>
    </row>
    <row r="16" spans="1:3" s="66" customFormat="1" ht="209.5" customHeight="1" x14ac:dyDescent="0.35">
      <c r="B16" s="6" t="s">
        <v>318</v>
      </c>
    </row>
    <row r="17" spans="2:2" ht="32.15" customHeight="1" x14ac:dyDescent="0.35">
      <c r="B17" s="93" t="s">
        <v>261</v>
      </c>
    </row>
    <row r="18" spans="2:2" x14ac:dyDescent="0.35">
      <c r="B18" s="94"/>
    </row>
  </sheetData>
  <sheetProtection algorithmName="SHA-512" hashValue="UWRWsUH0CevXYWNlGwlXjILEHV4OAaSawv25FZ8vkpA3AJU1hpT25QymCgHuk/xxKZgDOlYnzLTtG3/3bC9fXQ==" saltValue="qycxNRF0lD30cvEds7jvYg==" spinCount="100000" sheet="1" objects="1" scenarios="1" formatRows="0"/>
  <hyperlinks>
    <hyperlink ref="B14" r:id="rId1" xr:uid="{6E5A7C27-DEF9-4D1D-8DA6-01B67579E048}"/>
  </hyperlinks>
  <pageMargins left="0.7" right="0.7" top="0.75" bottom="0.75" header="0.3" footer="0.3"/>
  <pageSetup paperSize="9" scale="97" orientation="portrait" horizontalDpi="4294967295" verticalDpi="4294967295"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7B69B-8507-4B14-8327-3E09B8FE462A}">
  <dimension ref="A1:AB23"/>
  <sheetViews>
    <sheetView zoomScaleNormal="100" workbookViewId="0">
      <selection activeCell="D8" sqref="D8"/>
    </sheetView>
  </sheetViews>
  <sheetFormatPr defaultColWidth="0" defaultRowHeight="15" zeroHeight="1" x14ac:dyDescent="0.35"/>
  <cols>
    <col min="1" max="1" width="5.81640625" style="162" customWidth="1"/>
    <col min="2" max="2" width="52" style="162" customWidth="1"/>
    <col min="3" max="3" width="44" style="227" customWidth="1"/>
    <col min="4" max="4" width="65" style="162" customWidth="1"/>
    <col min="5" max="5" width="5.81640625" style="162" customWidth="1"/>
    <col min="6" max="6" width="15.90625" style="162" hidden="1" customWidth="1"/>
    <col min="7" max="7" width="13.81640625" style="162" hidden="1" customWidth="1"/>
    <col min="8" max="8" width="14.54296875" style="162" hidden="1" customWidth="1"/>
    <col min="9" max="10" width="14.54296875" style="157" hidden="1" customWidth="1"/>
    <col min="11" max="11" width="15.81640625" style="157" hidden="1" customWidth="1"/>
    <col min="12" max="12" width="16.26953125" style="157" hidden="1" customWidth="1"/>
    <col min="13" max="13" width="19.1796875" style="157" hidden="1" customWidth="1"/>
    <col min="14" max="21" width="13.7265625" style="157" hidden="1" customWidth="1"/>
    <col min="22" max="23" width="14.81640625" style="157" hidden="1" customWidth="1"/>
    <col min="24" max="24" width="5.54296875" style="157" hidden="1" customWidth="1"/>
    <col min="25" max="27" width="13.81640625" style="157" hidden="1" customWidth="1"/>
    <col min="28" max="16384" width="9" style="157" hidden="1"/>
  </cols>
  <sheetData>
    <row r="1" spans="1:28" ht="25.5" customHeight="1" x14ac:dyDescent="0.35">
      <c r="A1" s="154"/>
      <c r="B1" s="240" t="s">
        <v>296</v>
      </c>
      <c r="C1" s="222"/>
      <c r="D1" s="158"/>
      <c r="E1" s="154"/>
      <c r="F1" s="158"/>
      <c r="G1" s="158"/>
      <c r="H1" s="159"/>
      <c r="I1" s="158"/>
      <c r="J1" s="158"/>
      <c r="K1" s="158"/>
      <c r="L1" s="158"/>
      <c r="M1" s="158"/>
      <c r="N1" s="156"/>
      <c r="O1" s="156"/>
      <c r="P1" s="156"/>
      <c r="Q1" s="156"/>
      <c r="R1" s="156"/>
      <c r="S1" s="156"/>
      <c r="T1" s="156"/>
      <c r="U1" s="156"/>
      <c r="V1" s="156"/>
      <c r="W1" s="156"/>
      <c r="X1" s="156"/>
      <c r="Y1" s="156"/>
      <c r="Z1" s="156"/>
      <c r="AA1" s="156"/>
      <c r="AB1" s="156"/>
    </row>
    <row r="2" spans="1:28" ht="89" customHeight="1" x14ac:dyDescent="0.35">
      <c r="A2" s="154"/>
      <c r="B2" s="365" t="s">
        <v>273</v>
      </c>
      <c r="C2" s="365"/>
      <c r="D2" s="365"/>
      <c r="E2" s="154"/>
      <c r="F2" s="158"/>
      <c r="G2" s="158"/>
      <c r="H2" s="159"/>
      <c r="I2" s="158"/>
      <c r="J2" s="158"/>
      <c r="K2" s="158"/>
      <c r="L2" s="158"/>
      <c r="M2" s="158"/>
      <c r="N2" s="156"/>
      <c r="O2" s="156"/>
      <c r="P2" s="156"/>
      <c r="Q2" s="156"/>
      <c r="R2" s="156"/>
      <c r="S2" s="156"/>
      <c r="T2" s="156"/>
      <c r="U2" s="156"/>
      <c r="V2" s="156"/>
      <c r="W2" s="156"/>
      <c r="X2" s="156"/>
      <c r="Y2" s="156"/>
      <c r="Z2" s="156"/>
      <c r="AA2" s="156"/>
      <c r="AB2" s="156"/>
    </row>
    <row r="3" spans="1:28" ht="16" x14ac:dyDescent="0.35">
      <c r="A3" s="154"/>
      <c r="B3" s="241"/>
      <c r="C3" s="242"/>
      <c r="D3" s="241"/>
      <c r="E3" s="154"/>
      <c r="F3" s="158"/>
      <c r="G3" s="158"/>
      <c r="H3" s="159"/>
      <c r="I3" s="158"/>
      <c r="J3" s="158"/>
      <c r="K3" s="158"/>
      <c r="L3" s="158"/>
      <c r="M3" s="158"/>
      <c r="N3" s="156"/>
      <c r="O3" s="156"/>
      <c r="P3" s="156"/>
      <c r="Q3" s="156"/>
      <c r="R3" s="156"/>
      <c r="S3" s="156"/>
      <c r="T3" s="156"/>
      <c r="U3" s="156"/>
      <c r="V3" s="156"/>
      <c r="W3" s="156"/>
      <c r="X3" s="156"/>
      <c r="Y3" s="156"/>
      <c r="Z3" s="156"/>
      <c r="AA3" s="156"/>
      <c r="AB3" s="156"/>
    </row>
    <row r="4" spans="1:28" ht="22" customHeight="1" x14ac:dyDescent="0.35">
      <c r="A4" s="154"/>
      <c r="B4" s="160" t="s">
        <v>272</v>
      </c>
      <c r="C4" s="223"/>
      <c r="D4" s="158"/>
      <c r="E4" s="154"/>
      <c r="F4" s="158"/>
      <c r="G4" s="158"/>
      <c r="H4" s="159"/>
      <c r="I4" s="158"/>
      <c r="J4" s="158"/>
      <c r="K4" s="158"/>
      <c r="L4" s="158"/>
      <c r="M4" s="158"/>
      <c r="N4" s="156"/>
      <c r="O4" s="156"/>
      <c r="P4" s="156"/>
      <c r="Q4" s="156"/>
      <c r="R4" s="156"/>
      <c r="S4" s="156"/>
      <c r="T4" s="156"/>
      <c r="U4" s="156"/>
      <c r="V4" s="156"/>
      <c r="W4" s="156"/>
      <c r="X4" s="156"/>
      <c r="Y4" s="156"/>
      <c r="Z4" s="156"/>
      <c r="AA4" s="156"/>
      <c r="AB4" s="156"/>
    </row>
    <row r="5" spans="1:28" ht="28.5" customHeight="1" x14ac:dyDescent="0.35">
      <c r="A5" s="154"/>
      <c r="B5" s="163" t="s">
        <v>99</v>
      </c>
      <c r="C5" s="224"/>
      <c r="D5" s="19"/>
      <c r="E5" s="154"/>
      <c r="F5" s="158"/>
      <c r="G5" s="154"/>
      <c r="H5" s="158"/>
      <c r="I5" s="158"/>
      <c r="J5" s="156"/>
      <c r="K5" s="156"/>
      <c r="L5" s="156"/>
      <c r="M5" s="156"/>
      <c r="N5" s="156"/>
      <c r="O5" s="156"/>
      <c r="P5" s="156"/>
      <c r="Q5" s="156"/>
      <c r="R5" s="156"/>
      <c r="S5" s="156"/>
      <c r="T5" s="156"/>
      <c r="U5" s="156"/>
      <c r="V5" s="156"/>
      <c r="W5" s="156"/>
      <c r="X5" s="156"/>
      <c r="Y5" s="156"/>
      <c r="Z5" s="156"/>
      <c r="AA5" s="156"/>
      <c r="AB5" s="156"/>
    </row>
    <row r="6" spans="1:28" ht="28.5" customHeight="1" x14ac:dyDescent="0.35">
      <c r="A6" s="154"/>
      <c r="B6" s="164" t="s">
        <v>98</v>
      </c>
      <c r="C6" s="225"/>
      <c r="D6" s="3"/>
      <c r="E6" s="154"/>
      <c r="F6" s="158"/>
      <c r="G6" s="154"/>
      <c r="H6" s="154"/>
      <c r="I6" s="154"/>
      <c r="J6" s="156"/>
      <c r="K6" s="156"/>
      <c r="L6" s="156"/>
      <c r="M6" s="156"/>
      <c r="N6" s="156"/>
      <c r="O6" s="156"/>
      <c r="P6" s="156"/>
      <c r="Q6" s="156"/>
      <c r="R6" s="156"/>
      <c r="S6" s="156"/>
      <c r="T6" s="156"/>
      <c r="U6" s="156"/>
      <c r="V6" s="156"/>
      <c r="W6" s="156"/>
      <c r="X6" s="156"/>
      <c r="Y6" s="156"/>
      <c r="Z6" s="156"/>
      <c r="AA6" s="156"/>
      <c r="AB6" s="156"/>
    </row>
    <row r="7" spans="1:28" ht="28.5" customHeight="1" x14ac:dyDescent="0.35">
      <c r="A7" s="154"/>
      <c r="B7" s="165" t="s">
        <v>258</v>
      </c>
      <c r="C7" s="228" t="s">
        <v>271</v>
      </c>
      <c r="D7" s="188"/>
      <c r="E7" s="154"/>
      <c r="F7" s="158"/>
      <c r="G7" s="154"/>
      <c r="H7" s="154"/>
      <c r="I7" s="154"/>
      <c r="J7" s="156"/>
      <c r="K7" s="156"/>
      <c r="L7" s="156"/>
      <c r="M7" s="156"/>
      <c r="N7" s="156"/>
      <c r="O7" s="156"/>
      <c r="P7" s="156"/>
      <c r="Q7" s="156"/>
      <c r="R7" s="156"/>
      <c r="S7" s="156"/>
      <c r="T7" s="156"/>
      <c r="U7" s="156"/>
      <c r="V7" s="156"/>
      <c r="W7" s="156"/>
      <c r="X7" s="156"/>
      <c r="Y7" s="156"/>
      <c r="Z7" s="156"/>
      <c r="AA7" s="156"/>
      <c r="AB7" s="156"/>
    </row>
    <row r="8" spans="1:28" ht="28.5" customHeight="1" x14ac:dyDescent="0.35">
      <c r="A8" s="154"/>
      <c r="B8" s="165" t="s">
        <v>236</v>
      </c>
      <c r="C8" s="228" t="s">
        <v>249</v>
      </c>
      <c r="D8" s="1"/>
      <c r="E8" s="154"/>
      <c r="F8" s="158"/>
      <c r="G8" s="154"/>
      <c r="H8" s="154"/>
      <c r="I8" s="154"/>
      <c r="J8" s="156"/>
      <c r="K8" s="156"/>
      <c r="L8" s="156"/>
      <c r="M8" s="156"/>
      <c r="N8" s="156"/>
      <c r="O8" s="156"/>
      <c r="P8" s="156"/>
      <c r="Q8" s="156"/>
      <c r="R8" s="156"/>
      <c r="S8" s="156"/>
      <c r="T8" s="156"/>
      <c r="U8" s="156"/>
      <c r="V8" s="156"/>
      <c r="W8" s="156"/>
      <c r="X8" s="156"/>
      <c r="Y8" s="156"/>
      <c r="Z8" s="156"/>
      <c r="AA8" s="156"/>
      <c r="AB8" s="156"/>
    </row>
    <row r="9" spans="1:28" ht="28.5" customHeight="1" x14ac:dyDescent="0.35">
      <c r="A9" s="154"/>
      <c r="B9" s="234"/>
      <c r="C9" s="221" t="s">
        <v>250</v>
      </c>
      <c r="D9" s="1"/>
      <c r="E9" s="154"/>
      <c r="F9" s="158"/>
      <c r="G9" s="154"/>
      <c r="H9" s="154"/>
      <c r="I9" s="154"/>
      <c r="J9" s="156"/>
      <c r="K9" s="156"/>
      <c r="L9" s="156"/>
      <c r="M9" s="156"/>
      <c r="N9" s="156"/>
      <c r="O9" s="156"/>
      <c r="P9" s="156"/>
      <c r="Q9" s="156"/>
      <c r="R9" s="156"/>
      <c r="S9" s="156"/>
      <c r="T9" s="156"/>
      <c r="U9" s="156"/>
      <c r="V9" s="156"/>
      <c r="W9" s="156"/>
      <c r="X9" s="156"/>
      <c r="Y9" s="156"/>
      <c r="Z9" s="156"/>
      <c r="AA9" s="156"/>
      <c r="AB9" s="156"/>
    </row>
    <row r="10" spans="1:28" x14ac:dyDescent="0.35">
      <c r="A10" s="154"/>
      <c r="B10" s="238"/>
      <c r="C10" s="237"/>
      <c r="D10" s="154"/>
      <c r="E10" s="154"/>
      <c r="F10" s="158"/>
      <c r="G10" s="154"/>
      <c r="H10" s="154"/>
      <c r="I10" s="154"/>
      <c r="J10" s="156"/>
      <c r="K10" s="156"/>
      <c r="L10" s="156"/>
      <c r="M10" s="156"/>
      <c r="N10" s="156"/>
      <c r="O10" s="156"/>
      <c r="P10" s="156"/>
      <c r="Q10" s="156"/>
      <c r="R10" s="156"/>
      <c r="S10" s="156"/>
      <c r="T10" s="156"/>
      <c r="U10" s="156"/>
      <c r="V10" s="156"/>
      <c r="W10" s="156"/>
      <c r="X10" s="156"/>
      <c r="Y10" s="156"/>
      <c r="Z10" s="156"/>
      <c r="AA10" s="156"/>
      <c r="AB10" s="156"/>
    </row>
    <row r="11" spans="1:28" ht="22" customHeight="1" x14ac:dyDescent="0.35">
      <c r="A11" s="154"/>
      <c r="B11" s="161" t="s">
        <v>274</v>
      </c>
      <c r="C11" s="229"/>
      <c r="D11" s="158"/>
      <c r="E11" s="154"/>
      <c r="F11" s="158"/>
      <c r="G11" s="154"/>
      <c r="H11" s="154"/>
      <c r="I11" s="154"/>
      <c r="J11" s="156"/>
      <c r="K11" s="156"/>
      <c r="L11" s="156"/>
      <c r="M11" s="156"/>
      <c r="N11" s="156"/>
      <c r="O11" s="156"/>
      <c r="P11" s="156"/>
      <c r="Q11" s="156"/>
      <c r="R11" s="156"/>
      <c r="S11" s="156"/>
      <c r="T11" s="156"/>
      <c r="U11" s="156"/>
      <c r="V11" s="156"/>
      <c r="W11" s="156"/>
      <c r="X11" s="156"/>
      <c r="Y11" s="156"/>
      <c r="Z11" s="156"/>
      <c r="AA11" s="156"/>
      <c r="AB11" s="156"/>
    </row>
    <row r="12" spans="1:28" ht="28.5" customHeight="1" x14ac:dyDescent="0.35">
      <c r="A12" s="154"/>
      <c r="B12" s="166" t="s">
        <v>102</v>
      </c>
      <c r="C12" s="230"/>
      <c r="D12" s="19"/>
      <c r="E12" s="154"/>
      <c r="F12" s="158"/>
      <c r="G12" s="154"/>
      <c r="H12" s="158"/>
      <c r="I12" s="158"/>
      <c r="J12" s="156"/>
      <c r="K12" s="156"/>
      <c r="L12" s="156"/>
      <c r="M12" s="156"/>
      <c r="N12" s="156"/>
      <c r="O12" s="156"/>
      <c r="P12" s="156"/>
      <c r="Q12" s="156"/>
      <c r="R12" s="156"/>
      <c r="S12" s="156"/>
      <c r="T12" s="156"/>
      <c r="U12" s="156"/>
      <c r="V12" s="156"/>
      <c r="W12" s="156"/>
      <c r="X12" s="156"/>
      <c r="Y12" s="156"/>
      <c r="Z12" s="156"/>
      <c r="AA12" s="156"/>
      <c r="AB12" s="156"/>
    </row>
    <row r="13" spans="1:28" ht="28.5" customHeight="1" x14ac:dyDescent="0.35">
      <c r="A13" s="154"/>
      <c r="B13" s="164" t="s">
        <v>190</v>
      </c>
      <c r="C13" s="231"/>
      <c r="D13" s="14"/>
      <c r="E13" s="154"/>
      <c r="F13" s="158"/>
      <c r="G13" s="154"/>
      <c r="H13" s="154"/>
      <c r="I13" s="154"/>
      <c r="J13" s="156"/>
      <c r="K13" s="156"/>
      <c r="L13" s="156"/>
      <c r="M13" s="156"/>
      <c r="N13" s="156"/>
      <c r="O13" s="156"/>
      <c r="P13" s="156"/>
      <c r="Q13" s="156"/>
      <c r="R13" s="156"/>
      <c r="S13" s="156"/>
      <c r="T13" s="156"/>
      <c r="U13" s="156"/>
      <c r="V13" s="156"/>
      <c r="W13" s="156"/>
      <c r="X13" s="156"/>
      <c r="Y13" s="156"/>
      <c r="Z13" s="156"/>
      <c r="AA13" s="156"/>
      <c r="AB13" s="156"/>
    </row>
    <row r="14" spans="1:28" ht="29.5" customHeight="1" x14ac:dyDescent="0.35">
      <c r="A14" s="154"/>
      <c r="B14" s="164" t="s">
        <v>195</v>
      </c>
      <c r="C14" s="231" t="s">
        <v>208</v>
      </c>
      <c r="D14" s="14"/>
      <c r="E14" s="154"/>
      <c r="F14" s="158"/>
      <c r="G14" s="154"/>
      <c r="H14" s="154"/>
      <c r="I14" s="154"/>
      <c r="J14" s="156"/>
      <c r="K14" s="156"/>
      <c r="L14" s="156"/>
      <c r="M14" s="156"/>
      <c r="N14" s="156"/>
      <c r="O14" s="156"/>
      <c r="P14" s="156"/>
      <c r="Q14" s="156"/>
      <c r="R14" s="156"/>
      <c r="S14" s="156"/>
      <c r="T14" s="156"/>
      <c r="U14" s="156"/>
      <c r="V14" s="156"/>
      <c r="W14" s="156"/>
      <c r="X14" s="156"/>
      <c r="Y14" s="156"/>
      <c r="Z14" s="156"/>
      <c r="AA14" s="156"/>
      <c r="AB14" s="156"/>
    </row>
    <row r="15" spans="1:28" ht="34.5" customHeight="1" x14ac:dyDescent="0.35">
      <c r="A15" s="154"/>
      <c r="B15" s="167" t="s">
        <v>196</v>
      </c>
      <c r="C15" s="232" t="s">
        <v>311</v>
      </c>
      <c r="D15" s="14"/>
      <c r="E15" s="154"/>
      <c r="F15" s="158"/>
      <c r="G15" s="154"/>
      <c r="H15" s="154"/>
      <c r="I15" s="154"/>
      <c r="J15" s="156"/>
      <c r="K15" s="156"/>
      <c r="L15" s="156"/>
      <c r="M15" s="156"/>
      <c r="N15" s="156"/>
      <c r="O15" s="156"/>
      <c r="P15" s="156"/>
      <c r="Q15" s="156"/>
      <c r="R15" s="156"/>
      <c r="S15" s="156"/>
      <c r="T15" s="156"/>
      <c r="U15" s="156"/>
      <c r="V15" s="156"/>
      <c r="W15" s="156"/>
      <c r="X15" s="156"/>
      <c r="Y15" s="156"/>
      <c r="Z15" s="156"/>
      <c r="AA15" s="156"/>
      <c r="AB15" s="156"/>
    </row>
    <row r="16" spans="1:28" ht="29.5" customHeight="1" x14ac:dyDescent="0.35">
      <c r="A16" s="154"/>
      <c r="B16" s="168" t="s">
        <v>104</v>
      </c>
      <c r="C16" s="233" t="s">
        <v>177</v>
      </c>
      <c r="D16" s="16" t="str">
        <f>IFERROR(D15/D14,"")</f>
        <v/>
      </c>
      <c r="E16" s="154"/>
      <c r="F16" s="158"/>
      <c r="G16" s="154"/>
      <c r="H16" s="154"/>
      <c r="I16" s="154"/>
      <c r="J16" s="156"/>
      <c r="K16" s="156"/>
      <c r="L16" s="156"/>
      <c r="M16" s="156"/>
      <c r="N16" s="156"/>
      <c r="O16" s="156"/>
      <c r="P16" s="156"/>
      <c r="Q16" s="156"/>
      <c r="R16" s="156"/>
      <c r="S16" s="156"/>
      <c r="T16" s="156"/>
      <c r="U16" s="156"/>
      <c r="V16" s="156"/>
      <c r="W16" s="156"/>
      <c r="X16" s="156"/>
      <c r="Y16" s="156"/>
      <c r="Z16" s="156"/>
      <c r="AA16" s="156"/>
      <c r="AB16" s="156"/>
    </row>
    <row r="17" spans="1:28" ht="80.5" customHeight="1" x14ac:dyDescent="0.35">
      <c r="A17" s="154"/>
      <c r="B17" s="165" t="s">
        <v>197</v>
      </c>
      <c r="C17" s="236"/>
      <c r="D17" s="239"/>
      <c r="E17" s="154"/>
      <c r="F17" s="158"/>
      <c r="G17" s="154"/>
      <c r="H17" s="154"/>
      <c r="I17" s="154"/>
      <c r="J17" s="156"/>
      <c r="K17" s="156"/>
      <c r="L17" s="156"/>
      <c r="M17" s="156"/>
      <c r="N17" s="156"/>
      <c r="O17" s="156"/>
      <c r="P17" s="156"/>
      <c r="Q17" s="156"/>
      <c r="R17" s="156"/>
      <c r="S17" s="156"/>
      <c r="T17" s="156"/>
      <c r="U17" s="156"/>
      <c r="V17" s="156"/>
      <c r="W17" s="156"/>
      <c r="X17" s="156"/>
      <c r="Y17" s="156"/>
      <c r="Z17" s="156"/>
      <c r="AA17" s="156"/>
      <c r="AB17" s="156"/>
    </row>
    <row r="18" spans="1:28" ht="17.5" x14ac:dyDescent="0.35">
      <c r="A18" s="154"/>
      <c r="B18" s="235"/>
      <c r="C18" s="223"/>
      <c r="D18" s="154"/>
      <c r="E18" s="154"/>
      <c r="F18" s="154"/>
      <c r="G18" s="154"/>
      <c r="H18" s="154"/>
      <c r="I18" s="154"/>
      <c r="J18" s="156"/>
      <c r="K18" s="156"/>
      <c r="L18" s="156"/>
      <c r="M18" s="156"/>
      <c r="N18" s="156"/>
      <c r="O18" s="156"/>
      <c r="P18" s="156"/>
      <c r="Q18" s="156"/>
      <c r="R18" s="156"/>
      <c r="S18" s="156"/>
      <c r="T18" s="156"/>
      <c r="U18" s="156"/>
      <c r="V18" s="156"/>
      <c r="W18" s="156"/>
      <c r="X18" s="156"/>
      <c r="Y18" s="156"/>
      <c r="Z18" s="156"/>
      <c r="AA18" s="156"/>
      <c r="AB18" s="156"/>
    </row>
    <row r="19" spans="1:28" s="156" customFormat="1" x14ac:dyDescent="0.35">
      <c r="A19" s="154"/>
      <c r="B19" s="154"/>
      <c r="C19" s="226"/>
      <c r="D19" s="154"/>
      <c r="E19" s="154"/>
      <c r="F19" s="154"/>
      <c r="G19" s="154"/>
      <c r="H19" s="154"/>
      <c r="I19" s="154"/>
    </row>
    <row r="20" spans="1:28" s="156" customFormat="1" hidden="1" x14ac:dyDescent="0.35">
      <c r="A20" s="154"/>
      <c r="B20" s="154"/>
      <c r="C20" s="226"/>
      <c r="D20" s="154"/>
      <c r="E20" s="154"/>
      <c r="F20" s="154"/>
      <c r="G20" s="154"/>
      <c r="H20" s="154"/>
      <c r="I20" s="154"/>
    </row>
    <row r="21" spans="1:28" s="156" customFormat="1" hidden="1" x14ac:dyDescent="0.35">
      <c r="A21" s="154"/>
      <c r="B21" s="154"/>
      <c r="C21" s="226"/>
      <c r="D21" s="154"/>
      <c r="E21" s="154"/>
      <c r="F21" s="154"/>
      <c r="G21" s="154"/>
      <c r="H21" s="154"/>
      <c r="I21" s="154"/>
    </row>
    <row r="22" spans="1:28" s="156" customFormat="1" hidden="1" x14ac:dyDescent="0.35">
      <c r="A22" s="154"/>
      <c r="B22" s="154"/>
      <c r="C22" s="226"/>
      <c r="D22" s="154"/>
      <c r="E22" s="154"/>
      <c r="F22" s="154"/>
      <c r="G22" s="154"/>
      <c r="H22" s="154"/>
      <c r="I22" s="154"/>
    </row>
    <row r="23" spans="1:28" hidden="1" x14ac:dyDescent="0.35">
      <c r="M23" s="156"/>
      <c r="N23" s="156"/>
      <c r="O23" s="156"/>
      <c r="P23" s="156"/>
      <c r="Q23" s="156"/>
      <c r="R23" s="156"/>
      <c r="S23" s="156"/>
    </row>
  </sheetData>
  <sheetProtection algorithmName="SHA-512" hashValue="K7ya37MKV+0WpSnO/4PZaTLAbEs0KbrobkPyBoITMQMFq/q2IIY8qp8VzE7e+iMxnNCopdOVZziDzY63xm1EjQ==" saltValue="qJL5JMsvZ5vAGnoJ4Yw5BA==" spinCount="100000" sheet="1" objects="1" scenarios="1" formatCells="0" formatColumns="0" formatRows="0"/>
  <mergeCells count="1">
    <mergeCell ref="B2:D2"/>
  </mergeCells>
  <conditionalFormatting sqref="D5:D9">
    <cfRule type="notContainsBlanks" dxfId="43" priority="16">
      <formula>LEN(TRIM(D5))&gt;0</formula>
    </cfRule>
  </conditionalFormatting>
  <conditionalFormatting sqref="D12:D15">
    <cfRule type="notContainsBlanks" dxfId="42" priority="12">
      <formula>LEN(TRIM(D12))&gt;0</formula>
    </cfRule>
  </conditionalFormatting>
  <conditionalFormatting sqref="D17">
    <cfRule type="notContainsBlanks" dxfId="41" priority="10">
      <formula>LEN(TRIM(D17))&gt;0</formula>
    </cfRule>
  </conditionalFormatting>
  <dataValidations count="2">
    <dataValidation type="decimal" operator="greaterThanOrEqual" allowBlank="1" showInputMessage="1" showErrorMessage="1" sqref="D13" xr:uid="{313D2E00-01A0-4B42-A49F-EB28F738BE67}">
      <formula1>0</formula1>
    </dataValidation>
    <dataValidation type="decimal" errorStyle="warning" operator="greaterThanOrEqual" allowBlank="1" showInputMessage="1" showErrorMessage="1" error="This cell requires a number value greater than 0." sqref="D14:D15" xr:uid="{B4C7C22D-5493-4EDA-9B7F-0B9E5334CE94}">
      <formula1>0.5</formula1>
    </dataValidation>
  </dataValidations>
  <pageMargins left="0.7" right="0.7" top="0.75" bottom="0.75" header="0.3" footer="0.3"/>
  <pageSetup paperSize="9" scale="91" orientation="landscape" horizontalDpi="4294967295" verticalDpi="4294967295" r:id="rId1"/>
  <headerFooter>
    <oddHeader>&amp;C&amp;"Microsoft PhagsPa,Bold"Waste and Recycling Performance Calculator</oddHeader>
  </headerFooter>
  <ignoredErrors>
    <ignoredError sqref="D16"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D45"/>
  <sheetViews>
    <sheetView zoomScaleNormal="100" workbookViewId="0">
      <pane xSplit="3" topLeftCell="D1" activePane="topRight" state="frozen"/>
      <selection pane="topRight" activeCell="K2" sqref="K2"/>
    </sheetView>
  </sheetViews>
  <sheetFormatPr defaultColWidth="0" defaultRowHeight="15" zeroHeight="1" x14ac:dyDescent="0.35"/>
  <cols>
    <col min="1" max="1" width="3.1796875" style="162" customWidth="1"/>
    <col min="2" max="2" width="59.08984375" style="162" customWidth="1"/>
    <col min="3" max="3" width="11.54296875" style="162" hidden="1" customWidth="1"/>
    <col min="4" max="4" width="24.54296875" style="162" customWidth="1"/>
    <col min="5" max="5" width="19.7265625" style="162" customWidth="1"/>
    <col min="6" max="6" width="18.90625" style="162" customWidth="1"/>
    <col min="7" max="7" width="17.36328125" style="162" customWidth="1"/>
    <col min="8" max="8" width="15.90625" style="162" customWidth="1"/>
    <col min="9" max="9" width="13.81640625" style="162" customWidth="1"/>
    <col min="10" max="10" width="14.54296875" style="162" customWidth="1"/>
    <col min="11" max="11" width="14.54296875" style="157" customWidth="1"/>
    <col min="12" max="13" width="16.6328125" style="157" customWidth="1"/>
    <col min="14" max="15" width="21.6328125" style="157" customWidth="1"/>
    <col min="16" max="23" width="13.7265625" style="157" customWidth="1"/>
    <col min="24" max="24" width="16.54296875" style="157" customWidth="1"/>
    <col min="25" max="25" width="18.6328125" style="157" customWidth="1"/>
    <col min="26" max="26" width="3.1796875" style="157" customWidth="1"/>
    <col min="27" max="29" width="13.81640625" style="157" hidden="1" customWidth="1"/>
    <col min="30" max="16384" width="9" style="157" hidden="1"/>
  </cols>
  <sheetData>
    <row r="1" spans="1:30" ht="32" customHeight="1" x14ac:dyDescent="0.35">
      <c r="A1" s="154"/>
      <c r="B1" s="240" t="s">
        <v>295</v>
      </c>
      <c r="C1" s="155"/>
      <c r="D1" s="154"/>
      <c r="E1" s="154"/>
      <c r="F1" s="154"/>
      <c r="G1" s="154"/>
      <c r="H1" s="154"/>
      <c r="I1" s="154"/>
      <c r="J1" s="154"/>
      <c r="K1" s="154"/>
      <c r="L1" s="156"/>
      <c r="M1" s="156"/>
      <c r="N1" s="156"/>
      <c r="O1" s="156"/>
      <c r="P1" s="156"/>
      <c r="Q1" s="156"/>
      <c r="R1" s="156"/>
      <c r="S1" s="156"/>
      <c r="T1" s="156"/>
      <c r="U1" s="156"/>
      <c r="V1" s="156"/>
      <c r="W1" s="156"/>
      <c r="X1" s="156"/>
      <c r="Y1" s="156"/>
      <c r="Z1" s="156"/>
      <c r="AA1" s="156"/>
      <c r="AB1" s="156"/>
      <c r="AC1" s="156"/>
      <c r="AD1" s="156"/>
    </row>
    <row r="2" spans="1:30" ht="148" customHeight="1" x14ac:dyDescent="0.35">
      <c r="A2" s="154"/>
      <c r="B2" s="383" t="s">
        <v>314</v>
      </c>
      <c r="C2" s="383"/>
      <c r="D2" s="383"/>
      <c r="E2" s="383"/>
      <c r="F2" s="383"/>
      <c r="G2" s="383"/>
      <c r="H2" s="383"/>
      <c r="I2" s="383"/>
      <c r="J2" s="154"/>
      <c r="K2" s="158"/>
      <c r="L2" s="156"/>
      <c r="M2" s="156"/>
      <c r="N2" s="156"/>
      <c r="O2" s="156"/>
      <c r="P2" s="156"/>
      <c r="Q2" s="156"/>
      <c r="R2" s="156"/>
      <c r="S2" s="156"/>
      <c r="T2" s="156"/>
      <c r="U2" s="156"/>
      <c r="V2" s="156"/>
      <c r="W2" s="156"/>
      <c r="X2" s="156"/>
      <c r="Y2" s="156"/>
      <c r="Z2" s="156"/>
      <c r="AA2" s="156"/>
      <c r="AB2" s="156"/>
      <c r="AC2" s="156"/>
      <c r="AD2" s="156"/>
    </row>
    <row r="3" spans="1:30" ht="16" x14ac:dyDescent="0.35">
      <c r="A3" s="154"/>
      <c r="B3" s="158"/>
      <c r="C3" s="158"/>
      <c r="D3" s="158"/>
      <c r="E3" s="158"/>
      <c r="F3" s="158"/>
      <c r="G3" s="158"/>
      <c r="H3" s="158"/>
      <c r="I3" s="158"/>
      <c r="J3" s="159"/>
      <c r="K3" s="158"/>
      <c r="L3" s="158"/>
      <c r="M3" s="158"/>
      <c r="N3" s="158"/>
      <c r="O3" s="158"/>
      <c r="P3" s="156"/>
      <c r="Q3" s="156"/>
      <c r="R3" s="156"/>
      <c r="S3" s="156"/>
      <c r="T3" s="156"/>
      <c r="U3" s="156"/>
      <c r="V3" s="156"/>
      <c r="W3" s="156"/>
      <c r="X3" s="156"/>
      <c r="Y3" s="156"/>
      <c r="Z3" s="156"/>
      <c r="AA3" s="156"/>
      <c r="AB3" s="156"/>
      <c r="AC3" s="156"/>
      <c r="AD3" s="156"/>
    </row>
    <row r="4" spans="1:30" ht="17.5" x14ac:dyDescent="0.35">
      <c r="A4" s="154"/>
      <c r="B4" s="161"/>
      <c r="C4" s="161"/>
      <c r="D4" s="154"/>
      <c r="E4" s="154"/>
      <c r="F4" s="154"/>
      <c r="G4" s="154"/>
      <c r="H4" s="154"/>
      <c r="I4" s="154"/>
      <c r="J4" s="154"/>
      <c r="K4" s="154"/>
      <c r="L4" s="156"/>
      <c r="M4" s="156"/>
      <c r="N4" s="156"/>
      <c r="O4" s="156"/>
      <c r="P4" s="156"/>
      <c r="Q4" s="156"/>
      <c r="R4" s="156"/>
      <c r="S4" s="156"/>
      <c r="T4" s="156"/>
      <c r="U4" s="156"/>
      <c r="V4" s="156"/>
      <c r="W4" s="156"/>
      <c r="X4" s="156"/>
      <c r="Y4" s="156"/>
      <c r="Z4" s="156"/>
      <c r="AA4" s="156"/>
      <c r="AB4" s="156"/>
      <c r="AC4" s="156"/>
      <c r="AD4" s="156"/>
    </row>
    <row r="5" spans="1:30" ht="30" customHeight="1" x14ac:dyDescent="0.35">
      <c r="A5" s="154"/>
      <c r="B5" s="169" t="s">
        <v>275</v>
      </c>
      <c r="C5" s="187"/>
      <c r="D5" s="187"/>
      <c r="E5" s="187"/>
      <c r="F5" s="187"/>
      <c r="G5" s="187"/>
      <c r="H5" s="187"/>
      <c r="I5" s="187"/>
      <c r="J5" s="388" t="s">
        <v>14</v>
      </c>
      <c r="K5" s="388"/>
      <c r="L5" s="388"/>
      <c r="M5" s="388"/>
      <c r="N5" s="388"/>
      <c r="O5" s="388"/>
      <c r="P5" s="386" t="s">
        <v>114</v>
      </c>
      <c r="Q5" s="386"/>
      <c r="R5" s="386"/>
      <c r="S5" s="386"/>
      <c r="T5" s="386"/>
      <c r="U5" s="386"/>
      <c r="V5" s="386"/>
      <c r="W5" s="386"/>
      <c r="X5" s="386"/>
      <c r="Y5" s="387"/>
      <c r="Z5" s="156"/>
      <c r="AA5" s="156"/>
      <c r="AB5" s="156"/>
      <c r="AC5" s="156"/>
      <c r="AD5" s="156"/>
    </row>
    <row r="6" spans="1:30" ht="29.5" customHeight="1" x14ac:dyDescent="0.35">
      <c r="A6" s="154"/>
      <c r="B6" s="389" t="s">
        <v>43</v>
      </c>
      <c r="C6" s="171"/>
      <c r="D6" s="382" t="s">
        <v>128</v>
      </c>
      <c r="E6" s="382" t="s">
        <v>306</v>
      </c>
      <c r="F6" s="382" t="s">
        <v>105</v>
      </c>
      <c r="G6" s="371" t="s">
        <v>313</v>
      </c>
      <c r="H6" s="379" t="s">
        <v>44</v>
      </c>
      <c r="I6" s="380"/>
      <c r="J6" s="374" t="s">
        <v>106</v>
      </c>
      <c r="K6" s="374" t="s">
        <v>101</v>
      </c>
      <c r="L6" s="374" t="s">
        <v>115</v>
      </c>
      <c r="M6" s="374" t="s">
        <v>116</v>
      </c>
      <c r="N6" s="374" t="s">
        <v>117</v>
      </c>
      <c r="O6" s="374" t="s">
        <v>118</v>
      </c>
      <c r="P6" s="375" t="s">
        <v>107</v>
      </c>
      <c r="Q6" s="377" t="s">
        <v>111</v>
      </c>
      <c r="R6" s="367" t="s">
        <v>45</v>
      </c>
      <c r="S6" s="368"/>
      <c r="T6" s="369"/>
      <c r="U6" s="370" t="s">
        <v>50</v>
      </c>
      <c r="V6" s="371"/>
      <c r="W6" s="371"/>
      <c r="X6" s="372" t="s">
        <v>119</v>
      </c>
      <c r="Y6" s="384" t="s">
        <v>113</v>
      </c>
      <c r="Z6" s="172"/>
      <c r="AA6" s="156"/>
      <c r="AB6" s="156"/>
      <c r="AC6" s="156"/>
      <c r="AD6" s="156"/>
    </row>
    <row r="7" spans="1:30" ht="43" customHeight="1" x14ac:dyDescent="0.35">
      <c r="A7" s="154"/>
      <c r="B7" s="389"/>
      <c r="C7" s="171" t="s">
        <v>152</v>
      </c>
      <c r="D7" s="382"/>
      <c r="E7" s="382"/>
      <c r="F7" s="382"/>
      <c r="G7" s="371"/>
      <c r="H7" s="173" t="s">
        <v>252</v>
      </c>
      <c r="I7" s="174" t="s">
        <v>188</v>
      </c>
      <c r="J7" s="374"/>
      <c r="K7" s="374"/>
      <c r="L7" s="374"/>
      <c r="M7" s="374"/>
      <c r="N7" s="374"/>
      <c r="O7" s="374"/>
      <c r="P7" s="376"/>
      <c r="Q7" s="376"/>
      <c r="R7" s="175" t="s">
        <v>45</v>
      </c>
      <c r="S7" s="175" t="s">
        <v>108</v>
      </c>
      <c r="T7" s="176" t="s">
        <v>112</v>
      </c>
      <c r="U7" s="175" t="s">
        <v>109</v>
      </c>
      <c r="V7" s="175" t="s">
        <v>110</v>
      </c>
      <c r="W7" s="177" t="s">
        <v>211</v>
      </c>
      <c r="X7" s="373"/>
      <c r="Y7" s="385"/>
      <c r="Z7" s="172"/>
      <c r="AA7" s="156"/>
      <c r="AB7" s="156"/>
      <c r="AC7" s="156"/>
      <c r="AD7" s="156"/>
    </row>
    <row r="8" spans="1:30" ht="35" customHeight="1" x14ac:dyDescent="0.35">
      <c r="A8" s="154"/>
      <c r="B8" s="298" t="s">
        <v>100</v>
      </c>
      <c r="C8" s="299"/>
      <c r="D8" s="300" t="s">
        <v>142</v>
      </c>
      <c r="E8" s="300" t="s">
        <v>100</v>
      </c>
      <c r="F8" s="300" t="s">
        <v>100</v>
      </c>
      <c r="G8" s="301" t="s">
        <v>248</v>
      </c>
      <c r="H8" s="300" t="s">
        <v>248</v>
      </c>
      <c r="I8" s="301" t="s">
        <v>100</v>
      </c>
      <c r="J8" s="302" t="s">
        <v>49</v>
      </c>
      <c r="K8" s="303" t="s">
        <v>49</v>
      </c>
      <c r="L8" s="298" t="s">
        <v>49</v>
      </c>
      <c r="M8" s="303" t="s">
        <v>49</v>
      </c>
      <c r="N8" s="304" t="s">
        <v>312</v>
      </c>
      <c r="O8" s="343" t="s">
        <v>312</v>
      </c>
      <c r="P8" s="305" t="s">
        <v>248</v>
      </c>
      <c r="Q8" s="306" t="s">
        <v>49</v>
      </c>
      <c r="R8" s="305" t="s">
        <v>248</v>
      </c>
      <c r="S8" s="305" t="s">
        <v>100</v>
      </c>
      <c r="T8" s="306" t="s">
        <v>49</v>
      </c>
      <c r="U8" s="305" t="s">
        <v>248</v>
      </c>
      <c r="V8" s="305" t="s">
        <v>100</v>
      </c>
      <c r="W8" s="306" t="s">
        <v>49</v>
      </c>
      <c r="X8" s="307" t="s">
        <v>49</v>
      </c>
      <c r="Y8" s="331" t="s">
        <v>310</v>
      </c>
      <c r="Z8" s="156"/>
      <c r="AA8" s="156"/>
      <c r="AB8" s="156"/>
      <c r="AC8" s="156"/>
      <c r="AD8" s="156"/>
    </row>
    <row r="9" spans="1:30" ht="18" customHeight="1" x14ac:dyDescent="0.35">
      <c r="A9" s="178"/>
      <c r="B9" s="99"/>
      <c r="C9" s="140" t="str">
        <f>IFERROR(VLOOKUP('2a Enter data - Est. Volumes'!B9,'Lists - Hidden'!$C$34:$D$58,2,FALSE),"")</f>
        <v/>
      </c>
      <c r="D9" s="139" t="str">
        <f>IFERROR(VLOOKUP(B9,'Lists - Hidden'!$C$34:$E$58,3,FALSE),"")</f>
        <v/>
      </c>
      <c r="E9" s="98"/>
      <c r="F9" s="98"/>
      <c r="G9" s="353"/>
      <c r="H9" s="353"/>
      <c r="I9" s="14"/>
      <c r="J9" s="354" t="str">
        <f>IF(ISBLANK(I9),"",VLOOKUP(I9,'Lists - Hidden'!$B$20:$C$25,2,FALSE)*H9)</f>
        <v/>
      </c>
      <c r="K9" s="355" t="str">
        <f>IF(J9="","",J9*G9)</f>
        <v/>
      </c>
      <c r="L9" s="356" t="str">
        <f>IFERROR(IF($E9='Lists - Hidden'!$E$16,$K9*VLOOKUP($F9,'Lists - Hidden'!$G$5:$H$23,2,FALSE),""),"")</f>
        <v/>
      </c>
      <c r="M9" s="355" t="str">
        <f>IF($E9='Lists - Hidden'!$E$16,IF($I9="","",IFERROR(((L9*VLOOKUP($B9,'Lists - Hidden'!$C$31:$X$58,MATCH($F9,'Lists - Hidden'!$C$31:$X$31,0),0))/1000),"")),"")</f>
        <v/>
      </c>
      <c r="N9" s="357" t="str">
        <f>IFERROR(IF($E9='Lists - Hidden'!$E$17,$K9*VLOOKUP($F9,'Lists - Hidden'!$G$5:$H$23,2,FALSE)*'1 Review details'!$D$16,L9*'1 Review details'!$D$16),"")</f>
        <v/>
      </c>
      <c r="O9" s="358" t="str">
        <f>IFERROR(IF($E9='Lists - Hidden'!$E$17,IF($I9="","",IFERROR(((N9*VLOOKUP($B9,'Lists - Hidden'!$C$31:$X$58,MATCH($F9,'Lists - Hidden'!$C$31:$X$31,0),0))/1000),"")),M9*'1 Review details'!$D$16),"")</f>
        <v/>
      </c>
      <c r="P9" s="204"/>
      <c r="Q9" s="142" t="str">
        <f>IFERROR(K9*P9,"")</f>
        <v/>
      </c>
      <c r="R9" s="204"/>
      <c r="S9" s="201"/>
      <c r="T9" s="142">
        <f>IF(R9="",0,(R9*VLOOKUP(S9,'Lists - Hidden'!$B$20:$C$25,2,FALSE)))</f>
        <v>0</v>
      </c>
      <c r="U9" s="207"/>
      <c r="V9" s="203"/>
      <c r="W9" s="142">
        <f>IF(U9="",0,(U9*VLOOKUP(V9,'Lists - Hidden'!$B$20:$C$25,2,FALSE)))</f>
        <v>0</v>
      </c>
      <c r="X9" s="143" t="str">
        <f>IFERROR(IF($E9='Lists - Hidden'!$E$16,SUM($Q9,$T9-$W9),""),"")</f>
        <v/>
      </c>
      <c r="Y9" s="332" t="str">
        <f>IFERROR(IF($E9='Lists - Hidden'!$E$17,SUM($Q9,$T9-$W9),$X9*'1 Review details'!$D$16),"")</f>
        <v/>
      </c>
      <c r="Z9" s="156"/>
      <c r="AA9" s="156"/>
      <c r="AB9" s="156"/>
      <c r="AC9" s="156"/>
      <c r="AD9" s="156"/>
    </row>
    <row r="10" spans="1:30" ht="18" customHeight="1" x14ac:dyDescent="0.35">
      <c r="A10" s="178"/>
      <c r="B10" s="99"/>
      <c r="C10" s="140" t="str">
        <f>IFERROR(VLOOKUP('2a Enter data - Est. Volumes'!B10,'Lists - Hidden'!$C$34:$D$58,2,FALSE),"")</f>
        <v/>
      </c>
      <c r="D10" s="139" t="str">
        <f>IFERROR(VLOOKUP(B10,'Lists - Hidden'!$C$34:$E$58,3,FALSE),"")</f>
        <v/>
      </c>
      <c r="E10" s="98"/>
      <c r="F10" s="98"/>
      <c r="G10" s="353"/>
      <c r="H10" s="353"/>
      <c r="I10" s="14"/>
      <c r="J10" s="354" t="str">
        <f>IF(ISBLANK(I10),"",VLOOKUP(I10,'Lists - Hidden'!$B$20:$C$25,2,FALSE)*H10)</f>
        <v/>
      </c>
      <c r="K10" s="355" t="str">
        <f>IF(J10="","",J10*G10)</f>
        <v/>
      </c>
      <c r="L10" s="356" t="str">
        <f>IFERROR(IF($E10='Lists - Hidden'!$E$16,$K10*VLOOKUP($F10,'Lists - Hidden'!$G$5:$H$23,2,FALSE),""),"")</f>
        <v/>
      </c>
      <c r="M10" s="355" t="str">
        <f>IF($E10='Lists - Hidden'!$E$16,IF($I10="","",IFERROR(((L10*VLOOKUP($B10,'Lists - Hidden'!$C$31:$X$58,MATCH($F10,'Lists - Hidden'!$C$31:$X$31,0),0))/1000),"")),"")</f>
        <v/>
      </c>
      <c r="N10" s="357" t="str">
        <f>IFERROR(IF($E10='Lists - Hidden'!$E$17,$K10*VLOOKUP($F10,'Lists - Hidden'!$G$5:$H$23,2,FALSE)*'1 Review details'!$D$16,L10*'1 Review details'!$D$16),"")</f>
        <v/>
      </c>
      <c r="O10" s="358" t="str">
        <f>IFERROR(IF($E10='Lists - Hidden'!$E$17,IF($I10="","",IFERROR(((N10*VLOOKUP($B10,'Lists - Hidden'!$C$31:$X$58,MATCH($F10,'Lists - Hidden'!$C$31:$X$31,0),0))/1000),"")),M10*'1 Review details'!$D$16),"")</f>
        <v/>
      </c>
      <c r="P10" s="205"/>
      <c r="Q10" s="142" t="str">
        <f t="shared" ref="Q10:Q28" si="0">IFERROR(K10*P10,"")</f>
        <v/>
      </c>
      <c r="R10" s="205"/>
      <c r="S10" s="203"/>
      <c r="T10" s="196">
        <f>IF(R10="",0,(R10*VLOOKUP(S10,'Lists - Hidden'!$B$20:$C$25,2,FALSE)))</f>
        <v>0</v>
      </c>
      <c r="U10" s="202"/>
      <c r="V10" s="203"/>
      <c r="W10" s="142">
        <f>IF(U10="",0,(U10*VLOOKUP(V10,'Lists - Hidden'!$B$20:$C$25,2,FALSE)))</f>
        <v>0</v>
      </c>
      <c r="X10" s="143" t="str">
        <f>IFERROR(IF($E10='Lists - Hidden'!$E$16,SUM($Q10,$T10-$W10),""),"")</f>
        <v/>
      </c>
      <c r="Y10" s="332" t="str">
        <f>IFERROR(IF($E10='Lists - Hidden'!$E$17,SUM($Q10,$T10-$W10),$X10*'1 Review details'!$D$16),"")</f>
        <v/>
      </c>
      <c r="Z10" s="156"/>
      <c r="AA10" s="156"/>
      <c r="AB10" s="156"/>
      <c r="AC10" s="156"/>
      <c r="AD10" s="156"/>
    </row>
    <row r="11" spans="1:30" ht="18" customHeight="1" x14ac:dyDescent="0.35">
      <c r="A11" s="178"/>
      <c r="B11" s="99"/>
      <c r="C11" s="140" t="str">
        <f>IFERROR(VLOOKUP('2a Enter data - Est. Volumes'!B11,'Lists - Hidden'!$C$34:$D$58,2,FALSE),"")</f>
        <v/>
      </c>
      <c r="D11" s="139" t="str">
        <f>IFERROR(VLOOKUP(B11,'Lists - Hidden'!$C$34:$E$58,3,FALSE),"")</f>
        <v/>
      </c>
      <c r="E11" s="98"/>
      <c r="F11" s="98"/>
      <c r="G11" s="353"/>
      <c r="H11" s="353"/>
      <c r="I11" s="18"/>
      <c r="J11" s="354" t="str">
        <f>IF(ISBLANK(I11),"",VLOOKUP(I11,'Lists - Hidden'!$B$20:$C$25,2,FALSE)*H11)</f>
        <v/>
      </c>
      <c r="K11" s="355" t="str">
        <f t="shared" ref="K11" si="1">IF(J11="","",J11*G11)</f>
        <v/>
      </c>
      <c r="L11" s="356" t="str">
        <f>IFERROR(IF($E11='Lists - Hidden'!$E$16,$K11*VLOOKUP($F11,'Lists - Hidden'!$G$5:$H$23,2,FALSE),""),"")</f>
        <v/>
      </c>
      <c r="M11" s="355" t="str">
        <f>IF($E11='Lists - Hidden'!$E$16,IF($I11="","",IFERROR(((L11*VLOOKUP($B11,'Lists - Hidden'!$C$31:$X$58,MATCH($F11,'Lists - Hidden'!$C$31:$X$31,0),0))/1000),"")),"")</f>
        <v/>
      </c>
      <c r="N11" s="357" t="str">
        <f>IFERROR(IF($E11='Lists - Hidden'!$E$17,$K11*VLOOKUP($F11,'Lists - Hidden'!$G$5:$H$23,2,FALSE)*'1 Review details'!$D$16,L11*'1 Review details'!$D$16),"")</f>
        <v/>
      </c>
      <c r="O11" s="358" t="str">
        <f>IFERROR(IF($E11='Lists - Hidden'!$E$17,IF($I11="","",IFERROR(((N11*VLOOKUP($B11,'Lists - Hidden'!$C$31:$X$58,MATCH($F11,'Lists - Hidden'!$C$31:$X$31,0),0))/1000),"")),M11*'1 Review details'!$D$16),"")</f>
        <v/>
      </c>
      <c r="P11" s="205"/>
      <c r="Q11" s="142" t="str">
        <f t="shared" si="0"/>
        <v/>
      </c>
      <c r="R11" s="205"/>
      <c r="S11" s="203"/>
      <c r="T11" s="197">
        <f>IF(R11="",0,(R11*VLOOKUP(S11,'Lists - Hidden'!$B$20:$C$25,2,FALSE)))</f>
        <v>0</v>
      </c>
      <c r="U11" s="202"/>
      <c r="V11" s="203"/>
      <c r="W11" s="142">
        <f>IF(U11="",0,(U11*VLOOKUP(V11,'Lists - Hidden'!$B$20:$C$25,2,FALSE)))</f>
        <v>0</v>
      </c>
      <c r="X11" s="143" t="str">
        <f>IFERROR(IF($E11='Lists - Hidden'!$E$16,SUM($Q11,$T11-$W11),""),"")</f>
        <v/>
      </c>
      <c r="Y11" s="332" t="str">
        <f>IFERROR(IF($E11='Lists - Hidden'!$E$17,SUM($Q11,$T11-$W11),$X11*'1 Review details'!$D$16),"")</f>
        <v/>
      </c>
      <c r="Z11" s="156"/>
      <c r="AA11" s="156"/>
      <c r="AB11" s="156"/>
      <c r="AC11" s="156"/>
      <c r="AD11" s="156"/>
    </row>
    <row r="12" spans="1:30" ht="18" customHeight="1" x14ac:dyDescent="0.35">
      <c r="A12" s="178"/>
      <c r="B12" s="99"/>
      <c r="C12" s="140" t="str">
        <f>IFERROR(VLOOKUP('2a Enter data - Est. Volumes'!B12,'Lists - Hidden'!$C$34:$D$58,2,FALSE),"")</f>
        <v/>
      </c>
      <c r="D12" s="139" t="str">
        <f>IFERROR(VLOOKUP(B12,'Lists - Hidden'!$C$34:$E$58,3,FALSE),"")</f>
        <v/>
      </c>
      <c r="E12" s="98"/>
      <c r="F12" s="98"/>
      <c r="G12" s="353"/>
      <c r="H12" s="353"/>
      <c r="I12" s="18"/>
      <c r="J12" s="354" t="str">
        <f>IF(ISBLANK(I12),"",VLOOKUP(I12,'Lists - Hidden'!$B$20:$C$25,2,FALSE)*H12)</f>
        <v/>
      </c>
      <c r="K12" s="355" t="str">
        <f t="shared" ref="K12:K28" si="2">IF(J12="","",J12*G12)</f>
        <v/>
      </c>
      <c r="L12" s="356" t="str">
        <f>IFERROR(IF($E12='Lists - Hidden'!$E$16,$K12*VLOOKUP($F12,'Lists - Hidden'!$G$5:$H$23,2,FALSE),""),"")</f>
        <v/>
      </c>
      <c r="M12" s="355" t="str">
        <f>IF($E12='Lists - Hidden'!$E$16,IF($I12="","",IFERROR(((L12*VLOOKUP($B12,'Lists - Hidden'!$C$31:$X$58,MATCH($F12,'Lists - Hidden'!$C$31:$X$31,0),0))/1000),"")),"")</f>
        <v/>
      </c>
      <c r="N12" s="357" t="str">
        <f>IFERROR(IF($E12='Lists - Hidden'!$E$17,$K12*VLOOKUP($F12,'Lists - Hidden'!$G$5:$H$23,2,FALSE)*'1 Review details'!$D$16,L12*'1 Review details'!$D$16),"")</f>
        <v/>
      </c>
      <c r="O12" s="358" t="str">
        <f>IFERROR(IF($E12='Lists - Hidden'!$E$17,IF($I12="","",IFERROR(((N12*VLOOKUP($B12,'Lists - Hidden'!$C$31:$X$58,MATCH($F12,'Lists - Hidden'!$C$31:$X$31,0),0))/1000),"")),M12*'1 Review details'!$D$16),"")</f>
        <v/>
      </c>
      <c r="P12" s="205"/>
      <c r="Q12" s="142" t="str">
        <f t="shared" si="0"/>
        <v/>
      </c>
      <c r="R12" s="205"/>
      <c r="S12" s="203"/>
      <c r="T12" s="197">
        <f>IF(R12="",0,(R12*VLOOKUP(S12,'Lists - Hidden'!$B$20:$C$25,2,FALSE)))</f>
        <v>0</v>
      </c>
      <c r="U12" s="202"/>
      <c r="V12" s="203"/>
      <c r="W12" s="142">
        <f>IF(U12="",0,(U12*VLOOKUP(V12,'Lists - Hidden'!$B$20:$C$25,2,FALSE)))</f>
        <v>0</v>
      </c>
      <c r="X12" s="143" t="str">
        <f>IFERROR(IF($E12='Lists - Hidden'!$E$16,SUM($Q12,$T12-$W12),""),"")</f>
        <v/>
      </c>
      <c r="Y12" s="332" t="str">
        <f>IFERROR(IF($E12='Lists - Hidden'!$E$17,SUM($Q12,$T12-$W12),$X12*'1 Review details'!$D$16),"")</f>
        <v/>
      </c>
      <c r="Z12" s="156"/>
      <c r="AA12" s="156"/>
      <c r="AB12" s="156"/>
      <c r="AC12" s="156"/>
      <c r="AD12" s="156"/>
    </row>
    <row r="13" spans="1:30" ht="18" customHeight="1" x14ac:dyDescent="0.35">
      <c r="A13" s="178"/>
      <c r="B13" s="99"/>
      <c r="C13" s="140" t="str">
        <f>IFERROR(VLOOKUP('2a Enter data - Est. Volumes'!B13,'Lists - Hidden'!$C$34:$D$58,2,FALSE),"")</f>
        <v/>
      </c>
      <c r="D13" s="139" t="str">
        <f>IFERROR(VLOOKUP(B13,'Lists - Hidden'!$C$34:$E$58,3,FALSE),"")</f>
        <v/>
      </c>
      <c r="E13" s="98"/>
      <c r="F13" s="98"/>
      <c r="G13" s="353"/>
      <c r="H13" s="353"/>
      <c r="I13" s="18"/>
      <c r="J13" s="354" t="str">
        <f>IF(ISBLANK(I13),"",VLOOKUP(I13,'Lists - Hidden'!$B$20:$C$25,2,FALSE)*H13)</f>
        <v/>
      </c>
      <c r="K13" s="355" t="str">
        <f t="shared" si="2"/>
        <v/>
      </c>
      <c r="L13" s="356" t="str">
        <f>IFERROR(IF($E13='Lists - Hidden'!$E$16,$K13*VLOOKUP($F13,'Lists - Hidden'!$G$5:$H$23,2,FALSE),""),"")</f>
        <v/>
      </c>
      <c r="M13" s="355" t="str">
        <f>IF($E13='Lists - Hidden'!$E$16,IF($I13="","",IFERROR(((L13*VLOOKUP($B13,'Lists - Hidden'!$C$31:$X$58,MATCH($F13,'Lists - Hidden'!$C$31:$X$31,0),0))/1000),"")),"")</f>
        <v/>
      </c>
      <c r="N13" s="357" t="str">
        <f>IFERROR(IF($E13='Lists - Hidden'!$E$17,$K13*VLOOKUP($F13,'Lists - Hidden'!$G$5:$H$23,2,FALSE)*'1 Review details'!$D$16,L13*'1 Review details'!$D$16),"")</f>
        <v/>
      </c>
      <c r="O13" s="358" t="str">
        <f>IFERROR(IF($E13='Lists - Hidden'!$E$17,IF($I13="","",IFERROR(((N13*VLOOKUP($B13,'Lists - Hidden'!$C$31:$X$58,MATCH($F13,'Lists - Hidden'!$C$31:$X$31,0),0))/1000),"")),M13*'1 Review details'!$D$16),"")</f>
        <v/>
      </c>
      <c r="P13" s="205"/>
      <c r="Q13" s="142" t="str">
        <f t="shared" si="0"/>
        <v/>
      </c>
      <c r="R13" s="205"/>
      <c r="S13" s="203"/>
      <c r="T13" s="197">
        <f>IF(R13="",0,(R13*VLOOKUP(S13,'Lists - Hidden'!$B$20:$C$25,2,FALSE)))</f>
        <v>0</v>
      </c>
      <c r="U13" s="202"/>
      <c r="V13" s="203"/>
      <c r="W13" s="142">
        <f>IF(U13="",0,(U13*VLOOKUP(V13,'Lists - Hidden'!$B$20:$C$25,2,FALSE)))</f>
        <v>0</v>
      </c>
      <c r="X13" s="143" t="str">
        <f>IFERROR(IF($E13='Lists - Hidden'!$E$16,SUM($Q13,$T13-$W13),""),"")</f>
        <v/>
      </c>
      <c r="Y13" s="332" t="str">
        <f>IFERROR(IF($E13='Lists - Hidden'!$E$17,SUM($Q13,$T13-$W13),$X13*'1 Review details'!$D$16),"")</f>
        <v/>
      </c>
      <c r="Z13" s="156"/>
      <c r="AA13" s="156"/>
      <c r="AB13" s="156"/>
      <c r="AC13" s="156"/>
      <c r="AD13" s="156"/>
    </row>
    <row r="14" spans="1:30" ht="18" customHeight="1" x14ac:dyDescent="0.35">
      <c r="A14" s="178"/>
      <c r="B14" s="99"/>
      <c r="C14" s="140" t="str">
        <f>IFERROR(VLOOKUP('2a Enter data - Est. Volumes'!B14,'Lists - Hidden'!$C$34:$D$58,2,FALSE),"")</f>
        <v/>
      </c>
      <c r="D14" s="139" t="str">
        <f>IFERROR(VLOOKUP(B14,'Lists - Hidden'!$C$34:$E$58,3,FALSE),"")</f>
        <v/>
      </c>
      <c r="E14" s="98"/>
      <c r="F14" s="98"/>
      <c r="G14" s="353"/>
      <c r="H14" s="353"/>
      <c r="I14" s="18"/>
      <c r="J14" s="354" t="str">
        <f>IF(ISBLANK(I14),"",VLOOKUP(I14,'Lists - Hidden'!$B$20:$C$25,2,FALSE)*H14)</f>
        <v/>
      </c>
      <c r="K14" s="355" t="str">
        <f t="shared" si="2"/>
        <v/>
      </c>
      <c r="L14" s="356" t="str">
        <f>IFERROR(IF($E14='Lists - Hidden'!$E$16,$K14*VLOOKUP($F14,'Lists - Hidden'!$G$5:$H$23,2,FALSE),""),"")</f>
        <v/>
      </c>
      <c r="M14" s="355" t="str">
        <f>IF($E14='Lists - Hidden'!$E$16,IF($I14="","",IFERROR(((L14*VLOOKUP($B14,'Lists - Hidden'!$C$31:$X$58,MATCH($F14,'Lists - Hidden'!$C$31:$X$31,0),0))/1000),"")),"")</f>
        <v/>
      </c>
      <c r="N14" s="357" t="str">
        <f>IFERROR(IF($E14='Lists - Hidden'!$E$17,$K14*VLOOKUP($F14,'Lists - Hidden'!$G$5:$H$23,2,FALSE)*'1 Review details'!$D$16,L14*'1 Review details'!$D$16),"")</f>
        <v/>
      </c>
      <c r="O14" s="358" t="str">
        <f>IFERROR(IF($E14='Lists - Hidden'!$E$17,IF($I14="","",IFERROR(((N14*VLOOKUP($B14,'Lists - Hidden'!$C$31:$X$58,MATCH($F14,'Lists - Hidden'!$C$31:$X$31,0),0))/1000),"")),M14*'1 Review details'!$D$16),"")</f>
        <v/>
      </c>
      <c r="P14" s="205"/>
      <c r="Q14" s="142" t="str">
        <f t="shared" si="0"/>
        <v/>
      </c>
      <c r="R14" s="205"/>
      <c r="S14" s="203"/>
      <c r="T14" s="197">
        <f>IF(R14="",0,(R14*VLOOKUP(S14,'Lists - Hidden'!$B$20:$C$25,2,FALSE)))</f>
        <v>0</v>
      </c>
      <c r="U14" s="202"/>
      <c r="V14" s="203"/>
      <c r="W14" s="142">
        <f>IF(U14="",0,(U14*VLOOKUP(V14,'Lists - Hidden'!$B$20:$C$25,2,FALSE)))</f>
        <v>0</v>
      </c>
      <c r="X14" s="143" t="str">
        <f>IFERROR(IF($E14='Lists - Hidden'!$E$16,SUM($Q14,$T14-$W14),""),"")</f>
        <v/>
      </c>
      <c r="Y14" s="332" t="str">
        <f>IFERROR(IF($E14='Lists - Hidden'!$E$17,SUM($Q14,$T14-$W14),$X14*'1 Review details'!$D$16),"")</f>
        <v/>
      </c>
      <c r="Z14" s="156"/>
      <c r="AA14" s="156"/>
      <c r="AB14" s="156"/>
      <c r="AC14" s="156"/>
      <c r="AD14" s="156"/>
    </row>
    <row r="15" spans="1:30" ht="18" customHeight="1" x14ac:dyDescent="0.35">
      <c r="A15" s="178"/>
      <c r="B15" s="99"/>
      <c r="C15" s="140" t="str">
        <f>IFERROR(VLOOKUP('2a Enter data - Est. Volumes'!B15,'Lists - Hidden'!$C$34:$D$58,2,FALSE),"")</f>
        <v/>
      </c>
      <c r="D15" s="139" t="str">
        <f>IFERROR(VLOOKUP(B15,'Lists - Hidden'!$C$34:$E$58,3,FALSE),"")</f>
        <v/>
      </c>
      <c r="E15" s="98"/>
      <c r="F15" s="98"/>
      <c r="G15" s="353"/>
      <c r="H15" s="353"/>
      <c r="I15" s="18"/>
      <c r="J15" s="354" t="str">
        <f>IF(ISBLANK(I15),"",VLOOKUP(I15,'Lists - Hidden'!$B$20:$C$25,2,FALSE)*H15)</f>
        <v/>
      </c>
      <c r="K15" s="355" t="str">
        <f t="shared" si="2"/>
        <v/>
      </c>
      <c r="L15" s="356" t="str">
        <f>IFERROR(IF($E15='Lists - Hidden'!$E$16,$K15*VLOOKUP($F15,'Lists - Hidden'!$G$5:$H$23,2,FALSE),""),"")</f>
        <v/>
      </c>
      <c r="M15" s="355" t="str">
        <f>IF($E15='Lists - Hidden'!$E$16,IF($I15="","",IFERROR(((L15*VLOOKUP($B15,'Lists - Hidden'!$C$31:$X$58,MATCH($F15,'Lists - Hidden'!$C$31:$X$31,0),0))/1000),"")),"")</f>
        <v/>
      </c>
      <c r="N15" s="357" t="str">
        <f>IFERROR(IF($E15='Lists - Hidden'!$E$17,$K15*VLOOKUP($F15,'Lists - Hidden'!$G$5:$H$23,2,FALSE)*'1 Review details'!$D$16,L15*'1 Review details'!$D$16),"")</f>
        <v/>
      </c>
      <c r="O15" s="358" t="str">
        <f>IFERROR(IF($E15='Lists - Hidden'!$E$17,IF($I15="","",IFERROR(((N15*VLOOKUP($B15,'Lists - Hidden'!$C$31:$X$58,MATCH($F15,'Lists - Hidden'!$C$31:$X$31,0),0))/1000),"")),M15*'1 Review details'!$D$16),"")</f>
        <v/>
      </c>
      <c r="P15" s="205"/>
      <c r="Q15" s="142" t="str">
        <f t="shared" si="0"/>
        <v/>
      </c>
      <c r="R15" s="205"/>
      <c r="S15" s="203"/>
      <c r="T15" s="197">
        <f>IF(R15="",0,(R15*VLOOKUP(S15,'Lists - Hidden'!$B$20:$C$25,2,FALSE)))</f>
        <v>0</v>
      </c>
      <c r="U15" s="202"/>
      <c r="V15" s="203"/>
      <c r="W15" s="142">
        <f>IF(U15="",0,(U15*VLOOKUP(V15,'Lists - Hidden'!$B$20:$C$25,2,FALSE)))</f>
        <v>0</v>
      </c>
      <c r="X15" s="143" t="str">
        <f>IFERROR(IF($E15='Lists - Hidden'!$E$16,SUM($Q15,$T15-$W15),""),"")</f>
        <v/>
      </c>
      <c r="Y15" s="332" t="str">
        <f>IFERROR(IF($E15='Lists - Hidden'!$E$17,SUM($Q15,$T15-$W15),$X15*'1 Review details'!$D$16),"")</f>
        <v/>
      </c>
      <c r="Z15" s="156"/>
      <c r="AA15" s="156"/>
      <c r="AB15" s="156"/>
      <c r="AC15" s="156"/>
      <c r="AD15" s="156"/>
    </row>
    <row r="16" spans="1:30" ht="18" customHeight="1" x14ac:dyDescent="0.35">
      <c r="A16" s="178"/>
      <c r="B16" s="99"/>
      <c r="C16" s="140" t="str">
        <f>IFERROR(VLOOKUP('2a Enter data - Est. Volumes'!B16,'Lists - Hidden'!$C$34:$D$58,2,FALSE),"")</f>
        <v/>
      </c>
      <c r="D16" s="139" t="str">
        <f>IFERROR(VLOOKUP(B16,'Lists - Hidden'!$C$34:$E$58,3,FALSE),"")</f>
        <v/>
      </c>
      <c r="E16" s="98"/>
      <c r="F16" s="98"/>
      <c r="G16" s="353"/>
      <c r="H16" s="353"/>
      <c r="I16" s="18"/>
      <c r="J16" s="354" t="str">
        <f>IF(ISBLANK(I16),"",VLOOKUP(I16,'Lists - Hidden'!$B$20:$C$25,2,FALSE)*H16)</f>
        <v/>
      </c>
      <c r="K16" s="355" t="str">
        <f t="shared" si="2"/>
        <v/>
      </c>
      <c r="L16" s="356" t="str">
        <f>IFERROR(IF($E16='Lists - Hidden'!$E$16,$K16*VLOOKUP($F16,'Lists - Hidden'!$G$5:$H$23,2,FALSE),""),"")</f>
        <v/>
      </c>
      <c r="M16" s="355" t="str">
        <f>IF($E16='Lists - Hidden'!$E$16,IF($I16="","",IFERROR(((L16*VLOOKUP($B16,'Lists - Hidden'!$C$31:$X$58,MATCH($F16,'Lists - Hidden'!$C$31:$X$31,0),0))/1000),"")),"")</f>
        <v/>
      </c>
      <c r="N16" s="357" t="str">
        <f>IFERROR(IF($E16='Lists - Hidden'!$E$17,$K16*VLOOKUP($F16,'Lists - Hidden'!$G$5:$H$23,2,FALSE)*'1 Review details'!$D$16,L16*'1 Review details'!$D$16),"")</f>
        <v/>
      </c>
      <c r="O16" s="358" t="str">
        <f>IFERROR(IF($E16='Lists - Hidden'!$E$17,IF($I16="","",IFERROR(((N16*VLOOKUP($B16,'Lists - Hidden'!$C$31:$X$58,MATCH($F16,'Lists - Hidden'!$C$31:$X$31,0),0))/1000),"")),M16*'1 Review details'!$D$16),"")</f>
        <v/>
      </c>
      <c r="P16" s="205"/>
      <c r="Q16" s="142" t="str">
        <f t="shared" si="0"/>
        <v/>
      </c>
      <c r="R16" s="205"/>
      <c r="S16" s="203"/>
      <c r="T16" s="197">
        <f>IF(R16="",0,(R16*VLOOKUP(S16,'Lists - Hidden'!$B$20:$C$25,2,FALSE)))</f>
        <v>0</v>
      </c>
      <c r="U16" s="202"/>
      <c r="V16" s="203"/>
      <c r="W16" s="142">
        <f>IF(U16="",0,(U16*VLOOKUP(V16,'Lists - Hidden'!$B$20:$C$25,2,FALSE)))</f>
        <v>0</v>
      </c>
      <c r="X16" s="143" t="str">
        <f>IFERROR(IF($E16='Lists - Hidden'!$E$16,SUM($Q16,$T16-$W16),""),"")</f>
        <v/>
      </c>
      <c r="Y16" s="332" t="str">
        <f>IFERROR(IF($E16='Lists - Hidden'!$E$17,SUM($Q16,$T16-$W16),$X16*'1 Review details'!$D$16),"")</f>
        <v/>
      </c>
      <c r="Z16" s="156"/>
      <c r="AA16" s="156"/>
      <c r="AB16" s="156"/>
      <c r="AC16" s="156"/>
      <c r="AD16" s="156"/>
    </row>
    <row r="17" spans="1:30" ht="18" customHeight="1" x14ac:dyDescent="0.35">
      <c r="A17" s="178"/>
      <c r="B17" s="99"/>
      <c r="C17" s="140" t="str">
        <f>IFERROR(VLOOKUP('2a Enter data - Est. Volumes'!B17,'Lists - Hidden'!$C$34:$D$58,2,FALSE),"")</f>
        <v/>
      </c>
      <c r="D17" s="139" t="str">
        <f>IFERROR(VLOOKUP(B17,'Lists - Hidden'!$C$34:$E$58,3,FALSE),"")</f>
        <v/>
      </c>
      <c r="E17" s="98"/>
      <c r="F17" s="98"/>
      <c r="G17" s="353"/>
      <c r="H17" s="353"/>
      <c r="I17" s="18"/>
      <c r="J17" s="354" t="str">
        <f>IF(ISBLANK(I17),"",VLOOKUP(I17,'Lists - Hidden'!$B$20:$C$25,2,FALSE)*H17)</f>
        <v/>
      </c>
      <c r="K17" s="355" t="str">
        <f t="shared" si="2"/>
        <v/>
      </c>
      <c r="L17" s="356" t="str">
        <f>IFERROR(IF($E17='Lists - Hidden'!$E$16,$K17*VLOOKUP($F17,'Lists - Hidden'!$G$5:$H$23,2,FALSE),""),"")</f>
        <v/>
      </c>
      <c r="M17" s="355" t="str">
        <f>IF($E17='Lists - Hidden'!$E$16,IF($I17="","",IFERROR(((L17*VLOOKUP($B17,'Lists - Hidden'!$C$31:$X$58,MATCH($F17,'Lists - Hidden'!$C$31:$X$31,0),0))/1000),"")),"")</f>
        <v/>
      </c>
      <c r="N17" s="357" t="str">
        <f>IFERROR(IF($E17='Lists - Hidden'!$E$17,$K17*VLOOKUP($F17,'Lists - Hidden'!$G$5:$H$23,2,FALSE)*'1 Review details'!$D$16,L17*'1 Review details'!$D$16),"")</f>
        <v/>
      </c>
      <c r="O17" s="358" t="str">
        <f>IFERROR(IF($E17='Lists - Hidden'!$E$17,IF($I17="","",IFERROR(((N17*VLOOKUP($B17,'Lists - Hidden'!$C$31:$X$58,MATCH($F17,'Lists - Hidden'!$C$31:$X$31,0),0))/1000),"")),M17*'1 Review details'!$D$16),"")</f>
        <v/>
      </c>
      <c r="P17" s="205"/>
      <c r="Q17" s="142" t="str">
        <f t="shared" si="0"/>
        <v/>
      </c>
      <c r="R17" s="205"/>
      <c r="S17" s="203"/>
      <c r="T17" s="197">
        <f>IF(R17="",0,(R17*VLOOKUP(S17,'Lists - Hidden'!$B$20:$C$25,2,FALSE)))</f>
        <v>0</v>
      </c>
      <c r="U17" s="202"/>
      <c r="V17" s="203"/>
      <c r="W17" s="142">
        <f>IF(U17="",0,(U17*VLOOKUP(V17,'Lists - Hidden'!$B$20:$C$25,2,FALSE)))</f>
        <v>0</v>
      </c>
      <c r="X17" s="143" t="str">
        <f>IFERROR(IF($E17='Lists - Hidden'!$E$16,SUM($Q17,$T17-$W17),""),"")</f>
        <v/>
      </c>
      <c r="Y17" s="332" t="str">
        <f>IFERROR(IF($E17='Lists - Hidden'!$E$17,SUM($Q17,$T17-$W17),$X17*'1 Review details'!$D$16),"")</f>
        <v/>
      </c>
      <c r="Z17" s="156"/>
      <c r="AA17" s="156"/>
      <c r="AB17" s="156"/>
      <c r="AC17" s="156"/>
      <c r="AD17" s="156"/>
    </row>
    <row r="18" spans="1:30" ht="18" customHeight="1" x14ac:dyDescent="0.35">
      <c r="A18" s="178"/>
      <c r="B18" s="99"/>
      <c r="C18" s="140" t="str">
        <f>IFERROR(VLOOKUP('2a Enter data - Est. Volumes'!B18,'Lists - Hidden'!$C$34:$D$58,2,FALSE),"")</f>
        <v/>
      </c>
      <c r="D18" s="139" t="str">
        <f>IFERROR(VLOOKUP(B18,'Lists - Hidden'!$C$34:$E$58,3,FALSE),"")</f>
        <v/>
      </c>
      <c r="E18" s="98"/>
      <c r="F18" s="98"/>
      <c r="G18" s="353"/>
      <c r="H18" s="353"/>
      <c r="I18" s="18"/>
      <c r="J18" s="354" t="str">
        <f>IF(ISBLANK(I18),"",VLOOKUP(I18,'Lists - Hidden'!$B$20:$C$25,2,FALSE)*H18)</f>
        <v/>
      </c>
      <c r="K18" s="355" t="str">
        <f t="shared" si="2"/>
        <v/>
      </c>
      <c r="L18" s="356" t="str">
        <f>IFERROR(IF($E18='Lists - Hidden'!$E$16,$K18*VLOOKUP($F18,'Lists - Hidden'!$G$5:$H$23,2,FALSE),""),"")</f>
        <v/>
      </c>
      <c r="M18" s="355" t="str">
        <f>IF($E18='Lists - Hidden'!$E$16,IF($I18="","",IFERROR(((L18*VLOOKUP($B18,'Lists - Hidden'!$C$31:$X$58,MATCH($F18,'Lists - Hidden'!$C$31:$X$31,0),0))/1000),"")),"")</f>
        <v/>
      </c>
      <c r="N18" s="357" t="str">
        <f>IFERROR(IF($E18='Lists - Hidden'!$E$17,$K18*VLOOKUP($F18,'Lists - Hidden'!$G$5:$H$23,2,FALSE)*'1 Review details'!$D$16,L18*'1 Review details'!$D$16),"")</f>
        <v/>
      </c>
      <c r="O18" s="358" t="str">
        <f>IFERROR(IF($E18='Lists - Hidden'!$E$17,IF($I18="","",IFERROR(((N18*VLOOKUP($B18,'Lists - Hidden'!$C$31:$X$58,MATCH($F18,'Lists - Hidden'!$C$31:$X$31,0),0))/1000),"")),M18*'1 Review details'!$D$16),"")</f>
        <v/>
      </c>
      <c r="P18" s="205"/>
      <c r="Q18" s="142" t="str">
        <f t="shared" si="0"/>
        <v/>
      </c>
      <c r="R18" s="205"/>
      <c r="S18" s="203"/>
      <c r="T18" s="197">
        <f>IF(R18="",0,(R18*VLOOKUP(S18,'Lists - Hidden'!$B$20:$C$25,2,FALSE)))</f>
        <v>0</v>
      </c>
      <c r="U18" s="202"/>
      <c r="V18" s="203"/>
      <c r="W18" s="142">
        <f>IF(U18="",0,(U18*VLOOKUP(V18,'Lists - Hidden'!$B$20:$C$25,2,FALSE)))</f>
        <v>0</v>
      </c>
      <c r="X18" s="143" t="str">
        <f>IFERROR(IF($E18='Lists - Hidden'!$E$16,SUM($Q18,$T18-$W18),""),"")</f>
        <v/>
      </c>
      <c r="Y18" s="332" t="str">
        <f>IFERROR(IF($E18='Lists - Hidden'!$E$17,SUM($Q18,$T18-$W18),$X18*'1 Review details'!$D$16),"")</f>
        <v/>
      </c>
      <c r="Z18" s="156"/>
      <c r="AA18" s="156"/>
      <c r="AB18" s="156"/>
      <c r="AC18" s="156"/>
      <c r="AD18" s="156"/>
    </row>
    <row r="19" spans="1:30" ht="18" customHeight="1" x14ac:dyDescent="0.35">
      <c r="A19" s="178"/>
      <c r="B19" s="99"/>
      <c r="C19" s="140" t="str">
        <f>IFERROR(VLOOKUP('2a Enter data - Est. Volumes'!B19,'Lists - Hidden'!$C$34:$D$58,2,FALSE),"")</f>
        <v/>
      </c>
      <c r="D19" s="139" t="str">
        <f>IFERROR(VLOOKUP(B19,'Lists - Hidden'!$C$34:$E$58,3,FALSE),"")</f>
        <v/>
      </c>
      <c r="E19" s="98"/>
      <c r="F19" s="98"/>
      <c r="G19" s="353"/>
      <c r="H19" s="353"/>
      <c r="I19" s="18"/>
      <c r="J19" s="354" t="str">
        <f>IF(ISBLANK(I19),"",VLOOKUP(I19,'Lists - Hidden'!$B$20:$C$25,2,FALSE)*H19)</f>
        <v/>
      </c>
      <c r="K19" s="355" t="str">
        <f t="shared" si="2"/>
        <v/>
      </c>
      <c r="L19" s="356" t="str">
        <f>IFERROR(IF($E19='Lists - Hidden'!$E$16,$K19*VLOOKUP($F19,'Lists - Hidden'!$G$5:$H$23,2,FALSE),""),"")</f>
        <v/>
      </c>
      <c r="M19" s="355" t="str">
        <f>IF($E19='Lists - Hidden'!$E$16,IF($I19="","",IFERROR(((L19*VLOOKUP($B19,'Lists - Hidden'!$C$31:$X$58,MATCH($F19,'Lists - Hidden'!$C$31:$X$31,0),0))/1000),"")),"")</f>
        <v/>
      </c>
      <c r="N19" s="357" t="str">
        <f>IFERROR(IF($E19='Lists - Hidden'!$E$17,$K19*VLOOKUP($F19,'Lists - Hidden'!$G$5:$H$23,2,FALSE)*'1 Review details'!$D$16,L19*'1 Review details'!$D$16),"")</f>
        <v/>
      </c>
      <c r="O19" s="358" t="str">
        <f>IFERROR(IF($E19='Lists - Hidden'!$E$17,IF($I19="","",IFERROR(((N19*VLOOKUP($B19,'Lists - Hidden'!$C$31:$X$58,MATCH($F19,'Lists - Hidden'!$C$31:$X$31,0),0))/1000),"")),M19*'1 Review details'!$D$16),"")</f>
        <v/>
      </c>
      <c r="P19" s="205"/>
      <c r="Q19" s="142" t="str">
        <f t="shared" si="0"/>
        <v/>
      </c>
      <c r="R19" s="205"/>
      <c r="S19" s="203"/>
      <c r="T19" s="197">
        <f>IF(R19="",0,(R19*VLOOKUP(S19,'Lists - Hidden'!$B$20:$C$25,2,FALSE)))</f>
        <v>0</v>
      </c>
      <c r="U19" s="202"/>
      <c r="V19" s="203"/>
      <c r="W19" s="142">
        <f>IF(U19="",0,(U19*VLOOKUP(V19,'Lists - Hidden'!$B$20:$C$25,2,FALSE)))</f>
        <v>0</v>
      </c>
      <c r="X19" s="143" t="str">
        <f>IFERROR(IF($E19='Lists - Hidden'!$E$16,SUM($Q19,$T19-$W19),""),"")</f>
        <v/>
      </c>
      <c r="Y19" s="334" t="str">
        <f>IFERROR(IF($E19='Lists - Hidden'!$E$17,SUM($Q19,$T19-$W19),$X19*'1 Review details'!$D$16),"")</f>
        <v/>
      </c>
      <c r="Z19" s="156"/>
      <c r="AA19" s="156"/>
      <c r="AB19" s="156"/>
      <c r="AC19" s="156"/>
      <c r="AD19" s="156"/>
    </row>
    <row r="20" spans="1:30" ht="18" customHeight="1" x14ac:dyDescent="0.35">
      <c r="A20" s="178"/>
      <c r="B20" s="99"/>
      <c r="C20" s="140" t="str">
        <f>IFERROR(VLOOKUP('2a Enter data - Est. Volumes'!B20,'Lists - Hidden'!$C$34:$D$58,2,FALSE),"")</f>
        <v/>
      </c>
      <c r="D20" s="139" t="str">
        <f>IFERROR(VLOOKUP(B20,'Lists - Hidden'!$C$34:$E$58,3,FALSE),"")</f>
        <v/>
      </c>
      <c r="E20" s="98"/>
      <c r="F20" s="98"/>
      <c r="G20" s="353"/>
      <c r="H20" s="353"/>
      <c r="I20" s="18"/>
      <c r="J20" s="354" t="str">
        <f>IF(ISBLANK(I20),"",VLOOKUP(I20,'Lists - Hidden'!$B$20:$C$25,2,FALSE)*H20)</f>
        <v/>
      </c>
      <c r="K20" s="355" t="str">
        <f t="shared" si="2"/>
        <v/>
      </c>
      <c r="L20" s="356" t="str">
        <f>IFERROR(IF($E20='Lists - Hidden'!$E$16,$K20*VLOOKUP($F20,'Lists - Hidden'!$G$5:$H$23,2,FALSE),""),"")</f>
        <v/>
      </c>
      <c r="M20" s="355" t="str">
        <f>IF($E20='Lists - Hidden'!$E$16,IF($I20="","",IFERROR(((L20*VLOOKUP($B20,'Lists - Hidden'!$C$31:$X$58,MATCH($F20,'Lists - Hidden'!$C$31:$X$31,0),0))/1000),"")),"")</f>
        <v/>
      </c>
      <c r="N20" s="357" t="str">
        <f>IFERROR(IF($E20='Lists - Hidden'!$E$17,$K20*VLOOKUP($F20,'Lists - Hidden'!$G$5:$H$23,2,FALSE)*'1 Review details'!$D$16,L20*'1 Review details'!$D$16),"")</f>
        <v/>
      </c>
      <c r="O20" s="358" t="str">
        <f>IFERROR(IF($E20='Lists - Hidden'!$E$17,IF($I20="","",IFERROR(((N20*VLOOKUP($B20,'Lists - Hidden'!$C$31:$X$58,MATCH($F20,'Lists - Hidden'!$C$31:$X$31,0),0))/1000),"")),M20*'1 Review details'!$D$16),"")</f>
        <v/>
      </c>
      <c r="P20" s="205"/>
      <c r="Q20" s="142" t="str">
        <f t="shared" si="0"/>
        <v/>
      </c>
      <c r="R20" s="205"/>
      <c r="S20" s="203"/>
      <c r="T20" s="197">
        <f>IF(R20="",0,(R20*VLOOKUP(S20,'Lists - Hidden'!$B$20:$C$25,2,FALSE)))</f>
        <v>0</v>
      </c>
      <c r="U20" s="202"/>
      <c r="V20" s="203"/>
      <c r="W20" s="142">
        <f>IF(U20="",0,(U20*VLOOKUP(V20,'Lists - Hidden'!$B$20:$C$25,2,FALSE)))</f>
        <v>0</v>
      </c>
      <c r="X20" s="143" t="str">
        <f>IFERROR(IF($E20='Lists - Hidden'!$E$16,SUM($Q20,$T20-$W20),""),"")</f>
        <v/>
      </c>
      <c r="Y20" s="332" t="str">
        <f>IFERROR(IF($E20='Lists - Hidden'!$E$17,SUM($Q20,$T20-$W20),$X20*'1 Review details'!$D$16),"")</f>
        <v/>
      </c>
      <c r="Z20" s="156"/>
      <c r="AA20" s="156"/>
      <c r="AB20" s="156"/>
      <c r="AC20" s="156"/>
      <c r="AD20" s="156"/>
    </row>
    <row r="21" spans="1:30" ht="18" customHeight="1" x14ac:dyDescent="0.35">
      <c r="A21" s="178"/>
      <c r="B21" s="99"/>
      <c r="C21" s="140" t="str">
        <f>IFERROR(VLOOKUP('2a Enter data - Est. Volumes'!B21,'Lists - Hidden'!$C$34:$D$58,2,FALSE),"")</f>
        <v/>
      </c>
      <c r="D21" s="139" t="str">
        <f>IFERROR(VLOOKUP(B21,'Lists - Hidden'!$C$34:$E$58,3,FALSE),"")</f>
        <v/>
      </c>
      <c r="E21" s="98"/>
      <c r="F21" s="98"/>
      <c r="G21" s="353"/>
      <c r="H21" s="353"/>
      <c r="I21" s="18"/>
      <c r="J21" s="354" t="str">
        <f>IF(ISBLANK(I21),"",VLOOKUP(I21,'Lists - Hidden'!$B$20:$C$25,2,FALSE)*H21)</f>
        <v/>
      </c>
      <c r="K21" s="355" t="str">
        <f t="shared" si="2"/>
        <v/>
      </c>
      <c r="L21" s="356" t="str">
        <f>IFERROR(IF($E21='Lists - Hidden'!$E$16,$K21*VLOOKUP($F21,'Lists - Hidden'!$G$5:$H$23,2,FALSE),""),"")</f>
        <v/>
      </c>
      <c r="M21" s="355" t="str">
        <f>IF($E21='Lists - Hidden'!$E$16,IF($I21="","",IFERROR(((L21*VLOOKUP($B21,'Lists - Hidden'!$C$31:$X$58,MATCH($F21,'Lists - Hidden'!$C$31:$X$31,0),0))/1000),"")),"")</f>
        <v/>
      </c>
      <c r="N21" s="357" t="str">
        <f>IFERROR(IF($E21='Lists - Hidden'!$E$17,$K21*VLOOKUP($F21,'Lists - Hidden'!$G$5:$H$23,2,FALSE)*'1 Review details'!$D$16,L21*'1 Review details'!$D$16),"")</f>
        <v/>
      </c>
      <c r="O21" s="358" t="str">
        <f>IFERROR(IF($E21='Lists - Hidden'!$E$17,IF($I21="","",IFERROR(((N21*VLOOKUP($B21,'Lists - Hidden'!$C$31:$X$58,MATCH($F21,'Lists - Hidden'!$C$31:$X$31,0),0))/1000),"")),M21*'1 Review details'!$D$16),"")</f>
        <v/>
      </c>
      <c r="P21" s="205"/>
      <c r="Q21" s="142" t="str">
        <f t="shared" si="0"/>
        <v/>
      </c>
      <c r="R21" s="205"/>
      <c r="S21" s="203"/>
      <c r="T21" s="197">
        <f>IF(R21="",0,(R21*VLOOKUP(S21,'Lists - Hidden'!$B$20:$C$25,2,FALSE)))</f>
        <v>0</v>
      </c>
      <c r="U21" s="202"/>
      <c r="V21" s="203"/>
      <c r="W21" s="142">
        <f>IF(U21="",0,(U21*VLOOKUP(V21,'Lists - Hidden'!$B$20:$C$25,2,FALSE)))</f>
        <v>0</v>
      </c>
      <c r="X21" s="143" t="str">
        <f>IFERROR(IF($E21='Lists - Hidden'!$E$16,SUM($Q21,$T21-$W21),""),"")</f>
        <v/>
      </c>
      <c r="Y21" s="332" t="str">
        <f>IFERROR(IF($E21='Lists - Hidden'!$E$17,SUM($Q21,$T21-$W21),$X21*'1 Review details'!$D$16),"")</f>
        <v/>
      </c>
      <c r="Z21" s="156"/>
      <c r="AA21" s="156"/>
      <c r="AB21" s="156"/>
      <c r="AC21" s="156"/>
      <c r="AD21" s="156"/>
    </row>
    <row r="22" spans="1:30" ht="18" customHeight="1" x14ac:dyDescent="0.35">
      <c r="A22" s="178"/>
      <c r="B22" s="99"/>
      <c r="C22" s="140" t="str">
        <f>IFERROR(VLOOKUP('2a Enter data - Est. Volumes'!B22,'Lists - Hidden'!$C$34:$D$58,2,FALSE),"")</f>
        <v/>
      </c>
      <c r="D22" s="139" t="str">
        <f>IFERROR(VLOOKUP(B22,'Lists - Hidden'!$C$34:$E$58,3,FALSE),"")</f>
        <v/>
      </c>
      <c r="E22" s="98"/>
      <c r="F22" s="98"/>
      <c r="G22" s="353"/>
      <c r="H22" s="353"/>
      <c r="I22" s="18"/>
      <c r="J22" s="354" t="str">
        <f>IF(ISBLANK(I22),"",VLOOKUP(I22,'Lists - Hidden'!$B$20:$C$25,2,FALSE)*H22)</f>
        <v/>
      </c>
      <c r="K22" s="355" t="str">
        <f t="shared" si="2"/>
        <v/>
      </c>
      <c r="L22" s="356" t="str">
        <f>IFERROR(IF($E22='Lists - Hidden'!$E$16,$K22*VLOOKUP($F22,'Lists - Hidden'!$G$5:$H$23,2,FALSE),""),"")</f>
        <v/>
      </c>
      <c r="M22" s="355" t="str">
        <f>IF($E22='Lists - Hidden'!$E$16,IF($I22="","",IFERROR(((L22*VLOOKUP($B22,'Lists - Hidden'!$C$31:$X$58,MATCH($F22,'Lists - Hidden'!$C$31:$X$31,0),0))/1000),"")),"")</f>
        <v/>
      </c>
      <c r="N22" s="357" t="str">
        <f>IFERROR(IF($E22='Lists - Hidden'!$E$17,$K22*VLOOKUP($F22,'Lists - Hidden'!$G$5:$H$23,2,FALSE)*'1 Review details'!$D$16,L22*'1 Review details'!$D$16),"")</f>
        <v/>
      </c>
      <c r="O22" s="358" t="str">
        <f>IFERROR(IF($E22='Lists - Hidden'!$E$17,IF($I22="","",IFERROR(((N22*VLOOKUP($B22,'Lists - Hidden'!$C$31:$X$58,MATCH($F22,'Lists - Hidden'!$C$31:$X$31,0),0))/1000),"")),M22*'1 Review details'!$D$16),"")</f>
        <v/>
      </c>
      <c r="P22" s="205"/>
      <c r="Q22" s="142" t="str">
        <f t="shared" si="0"/>
        <v/>
      </c>
      <c r="R22" s="205"/>
      <c r="S22" s="203"/>
      <c r="T22" s="197">
        <f>IF(R22="",0,(R22*VLOOKUP(S22,'Lists - Hidden'!$B$20:$C$25,2,FALSE)))</f>
        <v>0</v>
      </c>
      <c r="U22" s="202"/>
      <c r="V22" s="203"/>
      <c r="W22" s="142">
        <f>IF(U22="",0,(U22*VLOOKUP(V22,'Lists - Hidden'!$B$20:$C$25,2,FALSE)))</f>
        <v>0</v>
      </c>
      <c r="X22" s="143" t="str">
        <f>IFERROR(IF($E22='Lists - Hidden'!$E$16,SUM($Q22,$T22-$W22),""),"")</f>
        <v/>
      </c>
      <c r="Y22" s="332" t="str">
        <f>IFERROR(IF($E22='Lists - Hidden'!$E$17,SUM($Q22,$T22-$W22),$X22*'1 Review details'!$D$16),"")</f>
        <v/>
      </c>
      <c r="Z22" s="156"/>
      <c r="AA22" s="156"/>
      <c r="AB22" s="156"/>
      <c r="AC22" s="156"/>
      <c r="AD22" s="156"/>
    </row>
    <row r="23" spans="1:30" ht="18" customHeight="1" x14ac:dyDescent="0.35">
      <c r="A23" s="178"/>
      <c r="B23" s="99"/>
      <c r="C23" s="140" t="str">
        <f>IFERROR(VLOOKUP('2a Enter data - Est. Volumes'!B23,'Lists - Hidden'!$C$34:$D$58,2,FALSE),"")</f>
        <v/>
      </c>
      <c r="D23" s="139" t="str">
        <f>IFERROR(VLOOKUP(B23,'Lists - Hidden'!$C$34:$E$58,3,FALSE),"")</f>
        <v/>
      </c>
      <c r="E23" s="98"/>
      <c r="F23" s="98"/>
      <c r="G23" s="353"/>
      <c r="H23" s="353"/>
      <c r="I23" s="18"/>
      <c r="J23" s="354" t="str">
        <f>IF(ISBLANK(I23),"",VLOOKUP(I23,'Lists - Hidden'!$B$20:$C$25,2,FALSE)*H23)</f>
        <v/>
      </c>
      <c r="K23" s="355" t="str">
        <f t="shared" si="2"/>
        <v/>
      </c>
      <c r="L23" s="356" t="str">
        <f>IFERROR(IF($E23='Lists - Hidden'!$E$16,$K23*VLOOKUP($F23,'Lists - Hidden'!$G$5:$H$23,2,FALSE),""),"")</f>
        <v/>
      </c>
      <c r="M23" s="355" t="str">
        <f>IF($E23='Lists - Hidden'!$E$16,IF($I23="","",IFERROR(((L23*VLOOKUP($B23,'Lists - Hidden'!$C$31:$X$58,MATCH($F23,'Lists - Hidden'!$C$31:$X$31,0),0))/1000),"")),"")</f>
        <v/>
      </c>
      <c r="N23" s="357" t="str">
        <f>IFERROR(IF($E23='Lists - Hidden'!$E$17,$K23*VLOOKUP($F23,'Lists - Hidden'!$G$5:$H$23,2,FALSE)*'1 Review details'!$D$16,L23*'1 Review details'!$D$16),"")</f>
        <v/>
      </c>
      <c r="O23" s="358" t="str">
        <f>IFERROR(IF($E23='Lists - Hidden'!$E$17,IF($I23="","",IFERROR(((N23*VLOOKUP($B23,'Lists - Hidden'!$C$31:$X$58,MATCH($F23,'Lists - Hidden'!$C$31:$X$31,0),0))/1000),"")),M23*'1 Review details'!$D$16),"")</f>
        <v/>
      </c>
      <c r="P23" s="205"/>
      <c r="Q23" s="142" t="str">
        <f t="shared" si="0"/>
        <v/>
      </c>
      <c r="R23" s="205"/>
      <c r="S23" s="203"/>
      <c r="T23" s="197">
        <f>IF(R23="",0,(R23*VLOOKUP(S23,'Lists - Hidden'!$B$20:$C$25,2,FALSE)))</f>
        <v>0</v>
      </c>
      <c r="U23" s="202"/>
      <c r="V23" s="203"/>
      <c r="W23" s="142">
        <f>IF(U23="",0,(U23*VLOOKUP(V23,'Lists - Hidden'!$B$20:$C$25,2,FALSE)))</f>
        <v>0</v>
      </c>
      <c r="X23" s="143" t="str">
        <f>IFERROR(IF($E23='Lists - Hidden'!$E$16,SUM($Q23,$T23-$W23),""),"")</f>
        <v/>
      </c>
      <c r="Y23" s="332" t="str">
        <f>IFERROR(IF($E23='Lists - Hidden'!$E$17,SUM($Q23,$T23-$W23),$X23*'1 Review details'!$D$16),"")</f>
        <v/>
      </c>
      <c r="Z23" s="156"/>
      <c r="AA23" s="156"/>
      <c r="AB23" s="156"/>
      <c r="AC23" s="156"/>
      <c r="AD23" s="156"/>
    </row>
    <row r="24" spans="1:30" ht="18" customHeight="1" x14ac:dyDescent="0.35">
      <c r="A24" s="178"/>
      <c r="B24" s="99"/>
      <c r="C24" s="140" t="str">
        <f>IFERROR(VLOOKUP('2a Enter data - Est. Volumes'!B24,'Lists - Hidden'!$C$34:$D$58,2,FALSE),"")</f>
        <v/>
      </c>
      <c r="D24" s="139" t="str">
        <f>IFERROR(VLOOKUP(B24,'Lists - Hidden'!$C$34:$E$58,3,FALSE),"")</f>
        <v/>
      </c>
      <c r="E24" s="98"/>
      <c r="F24" s="98"/>
      <c r="G24" s="353"/>
      <c r="H24" s="353"/>
      <c r="I24" s="18"/>
      <c r="J24" s="354" t="str">
        <f>IF(ISBLANK(I24),"",VLOOKUP(I24,'Lists - Hidden'!$B$20:$C$25,2,FALSE)*H24)</f>
        <v/>
      </c>
      <c r="K24" s="355" t="str">
        <f t="shared" si="2"/>
        <v/>
      </c>
      <c r="L24" s="356" t="str">
        <f>IFERROR(IF($E24='Lists - Hidden'!$E$16,$K24*VLOOKUP($F24,'Lists - Hidden'!$G$5:$H$23,2,FALSE),""),"")</f>
        <v/>
      </c>
      <c r="M24" s="355" t="str">
        <f>IF($E24='Lists - Hidden'!$E$16,IF($I24="","",IFERROR(((L24*VLOOKUP($B24,'Lists - Hidden'!$C$31:$X$58,MATCH($F24,'Lists - Hidden'!$C$31:$X$31,0),0))/1000),"")),"")</f>
        <v/>
      </c>
      <c r="N24" s="357" t="str">
        <f>IFERROR(IF($E24='Lists - Hidden'!$E$17,$K24*VLOOKUP($F24,'Lists - Hidden'!$G$5:$H$23,2,FALSE)*'1 Review details'!$D$16,L24*'1 Review details'!$D$16),"")</f>
        <v/>
      </c>
      <c r="O24" s="358" t="str">
        <f>IFERROR(IF($E24='Lists - Hidden'!$E$17,IF($I24="","",IFERROR(((N24*VLOOKUP($B24,'Lists - Hidden'!$C$31:$X$58,MATCH($F24,'Lists - Hidden'!$C$31:$X$31,0),0))/1000),"")),M24*'1 Review details'!$D$16),"")</f>
        <v/>
      </c>
      <c r="P24" s="205"/>
      <c r="Q24" s="142" t="str">
        <f t="shared" si="0"/>
        <v/>
      </c>
      <c r="R24" s="205"/>
      <c r="S24" s="203"/>
      <c r="T24" s="197">
        <f>IF(R24="",0,(R24*VLOOKUP(S24,'Lists - Hidden'!$B$20:$C$25,2,FALSE)))</f>
        <v>0</v>
      </c>
      <c r="U24" s="202"/>
      <c r="V24" s="203"/>
      <c r="W24" s="142">
        <f>IF(U24="",0,(U24*VLOOKUP(V24,'Lists - Hidden'!$B$20:$C$25,2,FALSE)))</f>
        <v>0</v>
      </c>
      <c r="X24" s="143" t="str">
        <f>IFERROR(IF($E24='Lists - Hidden'!$E$16,SUM($Q24,$T24-$W24),""),"")</f>
        <v/>
      </c>
      <c r="Y24" s="332" t="str">
        <f>IFERROR(IF($E24='Lists - Hidden'!$E$17,SUM($Q24,$T24-$W24),$X24*'1 Review details'!$D$16),"")</f>
        <v/>
      </c>
      <c r="Z24" s="156"/>
      <c r="AA24" s="156"/>
      <c r="AB24" s="156"/>
      <c r="AC24" s="156"/>
      <c r="AD24" s="156"/>
    </row>
    <row r="25" spans="1:30" ht="18" customHeight="1" x14ac:dyDescent="0.35">
      <c r="A25" s="178"/>
      <c r="B25" s="99"/>
      <c r="C25" s="140" t="str">
        <f>IFERROR(VLOOKUP('2a Enter data - Est. Volumes'!B25,'Lists - Hidden'!$C$34:$D$58,2,FALSE),"")</f>
        <v/>
      </c>
      <c r="D25" s="139" t="str">
        <f>IFERROR(VLOOKUP(B25,'Lists - Hidden'!$C$34:$E$58,3,FALSE),"")</f>
        <v/>
      </c>
      <c r="E25" s="98"/>
      <c r="F25" s="98"/>
      <c r="G25" s="353"/>
      <c r="H25" s="353"/>
      <c r="I25" s="18"/>
      <c r="J25" s="354" t="str">
        <f>IF(ISBLANK(I25),"",VLOOKUP(I25,'Lists - Hidden'!$B$20:$C$25,2,FALSE)*H25)</f>
        <v/>
      </c>
      <c r="K25" s="355" t="str">
        <f t="shared" si="2"/>
        <v/>
      </c>
      <c r="L25" s="356" t="str">
        <f>IFERROR(IF($E25='Lists - Hidden'!$E$16,$K25*VLOOKUP($F25,'Lists - Hidden'!$G$5:$H$23,2,FALSE),""),"")</f>
        <v/>
      </c>
      <c r="M25" s="355" t="str">
        <f>IF($E25='Lists - Hidden'!$E$16,IF($I25="","",IFERROR(((L25*VLOOKUP($B25,'Lists - Hidden'!$C$31:$X$58,MATCH($F25,'Lists - Hidden'!$C$31:$X$31,0),0))/1000),"")),"")</f>
        <v/>
      </c>
      <c r="N25" s="357" t="str">
        <f>IFERROR(IF($E25='Lists - Hidden'!$E$17,$K25*VLOOKUP($F25,'Lists - Hidden'!$G$5:$H$23,2,FALSE)*'1 Review details'!$D$16,L25*'1 Review details'!$D$16),"")</f>
        <v/>
      </c>
      <c r="O25" s="358" t="str">
        <f>IFERROR(IF($E25='Lists - Hidden'!$E$17,IF($I25="","",IFERROR(((N25*VLOOKUP($B25,'Lists - Hidden'!$C$31:$X$58,MATCH($F25,'Lists - Hidden'!$C$31:$X$31,0),0))/1000),"")),M25*'1 Review details'!$D$16),"")</f>
        <v/>
      </c>
      <c r="P25" s="205"/>
      <c r="Q25" s="142" t="str">
        <f t="shared" si="0"/>
        <v/>
      </c>
      <c r="R25" s="205"/>
      <c r="S25" s="203"/>
      <c r="T25" s="197">
        <f>IF(R25="",0,(R25*VLOOKUP(S25,'Lists - Hidden'!$B$20:$C$25,2,FALSE)))</f>
        <v>0</v>
      </c>
      <c r="U25" s="202"/>
      <c r="V25" s="203"/>
      <c r="W25" s="142">
        <f>IF(U25="",0,(U25*VLOOKUP(V25,'Lists - Hidden'!$B$20:$C$25,2,FALSE)))</f>
        <v>0</v>
      </c>
      <c r="X25" s="143" t="str">
        <f>IFERROR(IF($E25='Lists - Hidden'!$E$16,SUM($Q25,$T25-$W25),""),"")</f>
        <v/>
      </c>
      <c r="Y25" s="332" t="str">
        <f>IFERROR(IF($E25='Lists - Hidden'!$E$17,SUM($Q25,$T25-$W25),$X25*'1 Review details'!$D$16),"")</f>
        <v/>
      </c>
      <c r="Z25" s="156"/>
      <c r="AA25" s="156"/>
      <c r="AB25" s="156"/>
      <c r="AC25" s="156"/>
      <c r="AD25" s="156"/>
    </row>
    <row r="26" spans="1:30" ht="18" customHeight="1" x14ac:dyDescent="0.35">
      <c r="A26" s="178"/>
      <c r="B26" s="99"/>
      <c r="C26" s="140" t="str">
        <f>IFERROR(VLOOKUP('2a Enter data - Est. Volumes'!B26,'Lists - Hidden'!$C$34:$D$58,2,FALSE),"")</f>
        <v/>
      </c>
      <c r="D26" s="139" t="str">
        <f>IFERROR(VLOOKUP(B26,'Lists - Hidden'!$C$34:$E$58,3,FALSE),"")</f>
        <v/>
      </c>
      <c r="E26" s="98"/>
      <c r="F26" s="98"/>
      <c r="G26" s="353"/>
      <c r="H26" s="353"/>
      <c r="I26" s="18"/>
      <c r="J26" s="354" t="str">
        <f>IF(ISBLANK(I26),"",VLOOKUP(I26,'Lists - Hidden'!$B$20:$C$25,2,FALSE)*H26)</f>
        <v/>
      </c>
      <c r="K26" s="355" t="str">
        <f t="shared" si="2"/>
        <v/>
      </c>
      <c r="L26" s="356" t="str">
        <f>IFERROR(IF($E26='Lists - Hidden'!$E$16,$K26*VLOOKUP($F26,'Lists - Hidden'!$G$5:$H$23,2,FALSE),""),"")</f>
        <v/>
      </c>
      <c r="M26" s="355" t="str">
        <f>IF($E26='Lists - Hidden'!$E$16,IF($I26="","",IFERROR(((L26*VLOOKUP($B26,'Lists - Hidden'!$C$31:$X$58,MATCH($F26,'Lists - Hidden'!$C$31:$X$31,0),0))/1000),"")),"")</f>
        <v/>
      </c>
      <c r="N26" s="357" t="str">
        <f>IFERROR(IF($E26='Lists - Hidden'!$E$17,$K26*VLOOKUP($F26,'Lists - Hidden'!$G$5:$H$23,2,FALSE)*'1 Review details'!$D$16,L26*'1 Review details'!$D$16),"")</f>
        <v/>
      </c>
      <c r="O26" s="358" t="str">
        <f>IFERROR(IF($E26='Lists - Hidden'!$E$17,IF($I26="","",IFERROR(((N26*VLOOKUP($B26,'Lists - Hidden'!$C$31:$X$58,MATCH($F26,'Lists - Hidden'!$C$31:$X$31,0),0))/1000),"")),M26*'1 Review details'!$D$16),"")</f>
        <v/>
      </c>
      <c r="P26" s="205"/>
      <c r="Q26" s="142" t="str">
        <f t="shared" si="0"/>
        <v/>
      </c>
      <c r="R26" s="205"/>
      <c r="S26" s="203"/>
      <c r="T26" s="197">
        <f>IF(R26="",0,(R26*VLOOKUP(S26,'Lists - Hidden'!$B$20:$C$25,2,FALSE)))</f>
        <v>0</v>
      </c>
      <c r="U26" s="202"/>
      <c r="V26" s="203"/>
      <c r="W26" s="142">
        <f>IF(U26="",0,(U26*VLOOKUP(V26,'Lists - Hidden'!$B$20:$C$25,2,FALSE)))</f>
        <v>0</v>
      </c>
      <c r="X26" s="143" t="str">
        <f>IFERROR(IF($E26='Lists - Hidden'!$E$16,SUM($Q26,$T26-$W26),""),"")</f>
        <v/>
      </c>
      <c r="Y26" s="332" t="str">
        <f>IFERROR(IF($E26='Lists - Hidden'!$E$17,SUM($Q26,$T26-$W26),$X26*'1 Review details'!$D$16),"")</f>
        <v/>
      </c>
      <c r="Z26" s="156"/>
      <c r="AA26" s="156"/>
      <c r="AB26" s="156"/>
      <c r="AC26" s="156"/>
      <c r="AD26" s="156"/>
    </row>
    <row r="27" spans="1:30" ht="18" customHeight="1" x14ac:dyDescent="0.35">
      <c r="A27" s="178"/>
      <c r="B27" s="99"/>
      <c r="C27" s="140" t="str">
        <f>IFERROR(VLOOKUP('2a Enter data - Est. Volumes'!B27,'Lists - Hidden'!$C$34:$D$58,2,FALSE),"")</f>
        <v/>
      </c>
      <c r="D27" s="139" t="str">
        <f>IFERROR(VLOOKUP(B27,'Lists - Hidden'!$C$34:$E$58,3,FALSE),"")</f>
        <v/>
      </c>
      <c r="E27" s="98"/>
      <c r="F27" s="98"/>
      <c r="G27" s="353"/>
      <c r="H27" s="353"/>
      <c r="I27" s="18"/>
      <c r="J27" s="354" t="str">
        <f>IF(ISBLANK(I27),"",VLOOKUP(I27,'Lists - Hidden'!$B$20:$C$25,2,FALSE)*H27)</f>
        <v/>
      </c>
      <c r="K27" s="355" t="str">
        <f t="shared" si="2"/>
        <v/>
      </c>
      <c r="L27" s="356" t="str">
        <f>IFERROR(IF($E27='Lists - Hidden'!$E$16,$K27*VLOOKUP($F27,'Lists - Hidden'!$G$5:$H$23,2,FALSE),""),"")</f>
        <v/>
      </c>
      <c r="M27" s="355" t="str">
        <f>IF($E27='Lists - Hidden'!$E$16,IF($I27="","",IFERROR(((L27*VLOOKUP($B27,'Lists - Hidden'!$C$31:$X$58,MATCH($F27,'Lists - Hidden'!$C$31:$X$31,0),0))/1000),"")),"")</f>
        <v/>
      </c>
      <c r="N27" s="357" t="str">
        <f>IFERROR(IF($E27='Lists - Hidden'!$E$17,$K27*VLOOKUP($F27,'Lists - Hidden'!$G$5:$H$23,2,FALSE)*'1 Review details'!$D$16,L27*'1 Review details'!$D$16),"")</f>
        <v/>
      </c>
      <c r="O27" s="358" t="str">
        <f>IFERROR(IF($E27='Lists - Hidden'!$E$17,IF($I27="","",IFERROR(((N27*VLOOKUP($B27,'Lists - Hidden'!$C$31:$X$58,MATCH($F27,'Lists - Hidden'!$C$31:$X$31,0),0))/1000),"")),M27*'1 Review details'!$D$16),"")</f>
        <v/>
      </c>
      <c r="P27" s="205"/>
      <c r="Q27" s="142" t="str">
        <f t="shared" si="0"/>
        <v/>
      </c>
      <c r="R27" s="205"/>
      <c r="S27" s="203"/>
      <c r="T27" s="197">
        <f>IF(R27="",0,(R27*VLOOKUP(S27,'Lists - Hidden'!$B$20:$C$25,2,FALSE)))</f>
        <v>0</v>
      </c>
      <c r="U27" s="202"/>
      <c r="V27" s="203"/>
      <c r="W27" s="142">
        <f>IF(U27="",0,(U27*VLOOKUP(V27,'Lists - Hidden'!$B$20:$C$25,2,FALSE)))</f>
        <v>0</v>
      </c>
      <c r="X27" s="143" t="str">
        <f>IFERROR(IF($E27='Lists - Hidden'!$E$16,SUM($Q27,$T27-$W27),""),"")</f>
        <v/>
      </c>
      <c r="Y27" s="332" t="str">
        <f>IFERROR(IF($E27='Lists - Hidden'!$E$17,SUM($Q27,$T27-$W27),$X27*'1 Review details'!$D$16),"")</f>
        <v/>
      </c>
      <c r="Z27" s="156"/>
      <c r="AA27" s="156"/>
      <c r="AB27" s="156"/>
      <c r="AC27" s="156"/>
      <c r="AD27" s="156"/>
    </row>
    <row r="28" spans="1:30" ht="18" customHeight="1" x14ac:dyDescent="0.35">
      <c r="A28" s="178"/>
      <c r="B28" s="99"/>
      <c r="C28" s="140" t="str">
        <f>IFERROR(VLOOKUP('2a Enter data - Est. Volumes'!B28,'Lists - Hidden'!$C$34:$D$58,2,FALSE),"")</f>
        <v/>
      </c>
      <c r="D28" s="139" t="str">
        <f>IFERROR(VLOOKUP(B28,'Lists - Hidden'!$C$34:$E$58,3,FALSE),"")</f>
        <v/>
      </c>
      <c r="E28" s="98"/>
      <c r="F28" s="98"/>
      <c r="G28" s="353"/>
      <c r="H28" s="353"/>
      <c r="I28" s="18"/>
      <c r="J28" s="354" t="str">
        <f>IF(ISBLANK(I28),"",VLOOKUP(I28,'Lists - Hidden'!$B$20:$C$25,2,FALSE)*H28)</f>
        <v/>
      </c>
      <c r="K28" s="355" t="str">
        <f t="shared" si="2"/>
        <v/>
      </c>
      <c r="L28" s="356" t="str">
        <f>IFERROR(IF($E28='Lists - Hidden'!$E$16,$K28*VLOOKUP($F28,'Lists - Hidden'!$G$5:$H$23,2,FALSE),""),"")</f>
        <v/>
      </c>
      <c r="M28" s="355" t="str">
        <f>IF($E28='Lists - Hidden'!$E$16,IF($I28="","",IFERROR(((L28*VLOOKUP($B28,'Lists - Hidden'!$C$31:$X$58,MATCH($F28,'Lists - Hidden'!$C$31:$X$31,0),0))/1000),"")),"")</f>
        <v/>
      </c>
      <c r="N28" s="357" t="str">
        <f>IFERROR(IF($E28='Lists - Hidden'!$E$17,$K28*VLOOKUP($F28,'Lists - Hidden'!$G$5:$H$23,2,FALSE)*'1 Review details'!$D$16,L28*'1 Review details'!$D$16),"")</f>
        <v/>
      </c>
      <c r="O28" s="358" t="str">
        <f>IFERROR(IF($E28='Lists - Hidden'!$E$17,IF($I28="","",IFERROR(((N28*VLOOKUP($B28,'Lists - Hidden'!$C$31:$X$58,MATCH($F28,'Lists - Hidden'!$C$31:$X$31,0),0))/1000),"")),M28*'1 Review details'!$D$16),"")</f>
        <v/>
      </c>
      <c r="P28" s="205"/>
      <c r="Q28" s="142" t="str">
        <f t="shared" si="0"/>
        <v/>
      </c>
      <c r="R28" s="205"/>
      <c r="S28" s="203"/>
      <c r="T28" s="197">
        <f>IF(R28="",0,(R28*VLOOKUP(S28,'Lists - Hidden'!$B$20:$C$25,2,FALSE)))</f>
        <v>0</v>
      </c>
      <c r="U28" s="202"/>
      <c r="V28" s="203"/>
      <c r="W28" s="142">
        <f>IF(U28="",0,(U28*VLOOKUP(V28,'Lists - Hidden'!$B$20:$C$25,2,FALSE)))</f>
        <v>0</v>
      </c>
      <c r="X28" s="143" t="str">
        <f>IFERROR(IF($E28='Lists - Hidden'!$E$16,SUM($Q28,$T28-$W28),""),"")</f>
        <v/>
      </c>
      <c r="Y28" s="332" t="str">
        <f>IFERROR(IF($E28='Lists - Hidden'!$E$17,SUM($Q28,$T28-$W28),$X28*'1 Review details'!$D$16),"")</f>
        <v/>
      </c>
      <c r="Z28" s="156"/>
      <c r="AA28" s="156"/>
      <c r="AB28" s="156"/>
      <c r="AC28" s="156"/>
      <c r="AD28" s="156"/>
    </row>
    <row r="29" spans="1:30" ht="19.399999999999999" customHeight="1" x14ac:dyDescent="0.35">
      <c r="A29" s="154"/>
      <c r="B29" s="145"/>
      <c r="C29" s="145"/>
      <c r="D29" s="146"/>
      <c r="E29" s="146"/>
      <c r="F29" s="146"/>
      <c r="G29" s="147"/>
      <c r="H29" s="147"/>
      <c r="I29" s="148" t="s">
        <v>10</v>
      </c>
      <c r="J29" s="359" t="str">
        <f t="shared" ref="J29:O29" si="3">IF(SUM(J9:J28)=0,"",SUM(J9:J28))</f>
        <v/>
      </c>
      <c r="K29" s="360" t="str">
        <f t="shared" si="3"/>
        <v/>
      </c>
      <c r="L29" s="361" t="str">
        <f t="shared" si="3"/>
        <v/>
      </c>
      <c r="M29" s="362" t="str">
        <f t="shared" si="3"/>
        <v/>
      </c>
      <c r="N29" s="363" t="str">
        <f t="shared" si="3"/>
        <v/>
      </c>
      <c r="O29" s="364" t="str">
        <f t="shared" si="3"/>
        <v/>
      </c>
      <c r="P29" s="150"/>
      <c r="Q29" s="151" t="str">
        <f>IF(SUM(Q9:Q28)=0,"",SUM(Q9:Q28))</f>
        <v/>
      </c>
      <c r="R29" s="150"/>
      <c r="S29" s="153"/>
      <c r="T29" s="198" t="str">
        <f>IF(SUM(T9:T28)=0,"",SUM(T9:T28))</f>
        <v/>
      </c>
      <c r="U29" s="152"/>
      <c r="V29" s="149"/>
      <c r="W29" s="198" t="str">
        <f>IF(SUM(W9:W28)=0,"",SUM(W9:W28))</f>
        <v/>
      </c>
      <c r="X29" s="151" t="str">
        <f>IF(SUM(X9:X28)=0,"",SUM(X9:X28))</f>
        <v/>
      </c>
      <c r="Y29" s="333" t="str">
        <f>IF(SUM(Y9:Y28)=0,"",SUM(Y9:Y28))</f>
        <v/>
      </c>
      <c r="Z29" s="156"/>
      <c r="AA29" s="156"/>
      <c r="AB29" s="156"/>
      <c r="AC29" s="156"/>
      <c r="AD29" s="156"/>
    </row>
    <row r="30" spans="1:30" x14ac:dyDescent="0.35">
      <c r="A30" s="154"/>
      <c r="B30" s="179" t="str" cm="1">
        <f t="array" ref="B30">IF(OR(M9:M28="Not applicable*"),"*A compactor unit it not available for this waste stream. Please double check your bin size selection.","")</f>
        <v/>
      </c>
      <c r="C30" s="179"/>
      <c r="D30" s="179"/>
      <c r="E30" s="179"/>
      <c r="F30" s="179"/>
      <c r="G30" s="179"/>
      <c r="H30" s="156"/>
      <c r="I30" s="156"/>
      <c r="J30" s="378"/>
      <c r="K30" s="378"/>
      <c r="L30" s="378"/>
      <c r="M30" s="378"/>
      <c r="N30" s="180"/>
      <c r="O30" s="180"/>
      <c r="P30" s="156"/>
      <c r="Q30" s="156"/>
      <c r="R30" s="156"/>
      <c r="S30" s="156"/>
      <c r="T30" s="156"/>
      <c r="U30" s="156"/>
      <c r="V30" s="156"/>
      <c r="W30" s="156"/>
      <c r="X30" s="156"/>
      <c r="Y30" s="156"/>
      <c r="Z30" s="156"/>
      <c r="AA30" s="156"/>
      <c r="AB30" s="156"/>
      <c r="AC30" s="156"/>
      <c r="AD30" s="156"/>
    </row>
    <row r="31" spans="1:30" x14ac:dyDescent="0.35">
      <c r="A31" s="154"/>
      <c r="B31" s="180"/>
      <c r="C31" s="180"/>
      <c r="D31" s="180"/>
      <c r="E31" s="180"/>
      <c r="F31" s="180"/>
      <c r="G31" s="156"/>
      <c r="H31" s="156"/>
      <c r="I31" s="180"/>
      <c r="J31" s="180"/>
      <c r="K31" s="180"/>
      <c r="L31" s="180"/>
      <c r="M31" s="180"/>
      <c r="N31" s="180"/>
      <c r="O31" s="156"/>
      <c r="P31" s="156"/>
      <c r="Q31" s="156"/>
      <c r="R31" s="156"/>
      <c r="S31" s="156"/>
      <c r="T31" s="156"/>
      <c r="U31" s="156"/>
      <c r="V31" s="156"/>
      <c r="W31" s="156"/>
      <c r="X31" s="156"/>
      <c r="Y31" s="156"/>
      <c r="Z31" s="156"/>
      <c r="AA31" s="156"/>
      <c r="AB31" s="156"/>
      <c r="AC31" s="156"/>
    </row>
    <row r="32" spans="1:30" ht="80.5" customHeight="1" x14ac:dyDescent="0.35">
      <c r="A32" s="154"/>
      <c r="B32" s="381" t="s">
        <v>103</v>
      </c>
      <c r="C32" s="381"/>
      <c r="D32" s="381"/>
      <c r="E32" s="381"/>
      <c r="F32" s="181"/>
      <c r="G32" s="181"/>
      <c r="H32" s="181"/>
      <c r="I32" s="181"/>
      <c r="J32" s="181"/>
      <c r="K32" s="181"/>
      <c r="L32" s="181"/>
      <c r="M32" s="181"/>
      <c r="N32" s="181"/>
      <c r="O32" s="181"/>
      <c r="P32" s="156"/>
      <c r="Q32" s="156"/>
      <c r="R32" s="156"/>
      <c r="S32" s="156"/>
      <c r="T32" s="156"/>
      <c r="U32" s="156"/>
      <c r="V32" s="156"/>
      <c r="W32" s="156"/>
      <c r="X32" s="156"/>
      <c r="Y32" s="156"/>
      <c r="Z32" s="156"/>
      <c r="AA32" s="156"/>
      <c r="AB32" s="156"/>
      <c r="AC32" s="156"/>
      <c r="AD32" s="156"/>
    </row>
    <row r="33" spans="1:30" ht="63.75" customHeight="1" thickBot="1" x14ac:dyDescent="0.4">
      <c r="A33" s="154"/>
      <c r="B33" s="182" t="s">
        <v>97</v>
      </c>
      <c r="C33" s="183"/>
      <c r="D33" s="182" t="s">
        <v>176</v>
      </c>
      <c r="E33" s="182" t="s">
        <v>131</v>
      </c>
      <c r="F33" s="181"/>
      <c r="G33" s="184"/>
      <c r="H33" s="184"/>
      <c r="I33" s="184"/>
      <c r="J33" s="184"/>
      <c r="K33" s="184"/>
      <c r="L33" s="184"/>
      <c r="M33" s="184"/>
      <c r="N33" s="184"/>
      <c r="O33" s="156"/>
      <c r="P33" s="156"/>
      <c r="Q33" s="156"/>
      <c r="R33" s="156"/>
      <c r="S33" s="156"/>
      <c r="T33" s="156"/>
      <c r="U33" s="156"/>
      <c r="V33" s="156"/>
      <c r="W33" s="156"/>
      <c r="X33" s="156"/>
      <c r="Y33" s="156"/>
      <c r="Z33" s="156"/>
      <c r="AA33" s="156"/>
      <c r="AB33" s="156"/>
      <c r="AC33" s="156"/>
    </row>
    <row r="34" spans="1:30" ht="23.5" customHeight="1" x14ac:dyDescent="0.35">
      <c r="A34" s="154"/>
      <c r="B34" s="15" t="s">
        <v>189</v>
      </c>
      <c r="C34" s="77"/>
      <c r="D34" s="351"/>
      <c r="E34" s="4"/>
      <c r="F34" s="366" t="s">
        <v>253</v>
      </c>
      <c r="G34" s="366"/>
      <c r="H34" s="366"/>
      <c r="I34" s="366"/>
      <c r="J34" s="366"/>
      <c r="K34" s="184"/>
      <c r="L34" s="184"/>
      <c r="M34" s="184"/>
      <c r="N34" s="184"/>
      <c r="O34" s="156"/>
      <c r="P34" s="156"/>
      <c r="Q34" s="156"/>
      <c r="R34" s="156"/>
      <c r="S34" s="156"/>
      <c r="T34" s="156"/>
      <c r="U34" s="156"/>
      <c r="V34" s="156"/>
      <c r="W34" s="156"/>
      <c r="X34" s="156"/>
      <c r="Y34" s="156"/>
      <c r="Z34" s="156"/>
      <c r="AA34" s="156"/>
      <c r="AB34" s="156"/>
      <c r="AC34" s="156"/>
    </row>
    <row r="35" spans="1:30" ht="23.5" customHeight="1" x14ac:dyDescent="0.35">
      <c r="A35" s="154"/>
      <c r="B35" s="15" t="s">
        <v>189</v>
      </c>
      <c r="C35" s="78"/>
      <c r="D35" s="352"/>
      <c r="E35" s="1"/>
      <c r="F35" s="366"/>
      <c r="G35" s="366"/>
      <c r="H35" s="366"/>
      <c r="I35" s="366"/>
      <c r="J35" s="366"/>
      <c r="K35" s="184"/>
      <c r="L35" s="184"/>
      <c r="M35" s="184"/>
      <c r="N35" s="184"/>
      <c r="O35" s="156"/>
      <c r="P35" s="156"/>
      <c r="Q35" s="156"/>
      <c r="R35" s="156"/>
      <c r="S35" s="156"/>
      <c r="T35" s="156"/>
      <c r="U35" s="156"/>
      <c r="V35" s="156"/>
      <c r="W35" s="156"/>
      <c r="X35" s="156"/>
      <c r="Y35" s="156"/>
      <c r="Z35" s="156"/>
      <c r="AA35" s="156"/>
      <c r="AB35" s="156"/>
      <c r="AC35" s="156"/>
    </row>
    <row r="36" spans="1:30" ht="23.5" customHeight="1" x14ac:dyDescent="0.35">
      <c r="A36" s="154"/>
      <c r="B36" s="15" t="s">
        <v>189</v>
      </c>
      <c r="C36" s="78"/>
      <c r="D36" s="352"/>
      <c r="E36" s="1"/>
      <c r="F36" s="366"/>
      <c r="G36" s="366"/>
      <c r="H36" s="366"/>
      <c r="I36" s="366"/>
      <c r="J36" s="366"/>
      <c r="K36" s="184"/>
      <c r="L36" s="184"/>
      <c r="M36" s="184"/>
      <c r="N36" s="184"/>
      <c r="O36" s="156"/>
      <c r="P36" s="156"/>
      <c r="Q36" s="156"/>
      <c r="R36" s="156"/>
      <c r="S36" s="156"/>
      <c r="T36" s="156"/>
      <c r="U36" s="156"/>
      <c r="V36" s="156"/>
      <c r="W36" s="156"/>
      <c r="X36" s="156"/>
      <c r="Y36" s="156"/>
      <c r="Z36" s="156"/>
      <c r="AA36" s="156"/>
      <c r="AB36" s="156"/>
      <c r="AC36" s="156"/>
    </row>
    <row r="37" spans="1:30" ht="23.5" customHeight="1" x14ac:dyDescent="0.35">
      <c r="A37" s="154"/>
      <c r="B37" s="15" t="s">
        <v>189</v>
      </c>
      <c r="C37" s="78"/>
      <c r="D37" s="352"/>
      <c r="E37" s="1"/>
      <c r="F37" s="366"/>
      <c r="G37" s="366"/>
      <c r="H37" s="366"/>
      <c r="I37" s="366"/>
      <c r="J37" s="366"/>
      <c r="K37" s="184"/>
      <c r="L37" s="184"/>
      <c r="M37" s="184"/>
      <c r="N37" s="184"/>
      <c r="O37" s="156"/>
      <c r="P37" s="156"/>
      <c r="Q37" s="156"/>
      <c r="R37" s="156"/>
      <c r="S37" s="156"/>
      <c r="T37" s="156"/>
      <c r="U37" s="156"/>
      <c r="V37" s="156"/>
      <c r="W37" s="156"/>
      <c r="X37" s="156"/>
      <c r="Y37" s="156"/>
      <c r="Z37" s="156"/>
      <c r="AA37" s="156"/>
      <c r="AB37" s="156"/>
      <c r="AC37" s="156"/>
    </row>
    <row r="38" spans="1:30" ht="23.5" customHeight="1" x14ac:dyDescent="0.35">
      <c r="A38" s="154"/>
      <c r="B38" s="15" t="s">
        <v>189</v>
      </c>
      <c r="C38" s="78"/>
      <c r="D38" s="352"/>
      <c r="E38" s="1"/>
      <c r="F38" s="366"/>
      <c r="G38" s="366"/>
      <c r="H38" s="366"/>
      <c r="I38" s="366"/>
      <c r="J38" s="366"/>
      <c r="K38" s="184"/>
      <c r="L38" s="184"/>
      <c r="M38" s="184"/>
      <c r="N38" s="184"/>
      <c r="O38" s="156"/>
      <c r="P38" s="156"/>
      <c r="Q38" s="156"/>
      <c r="R38" s="156"/>
      <c r="S38" s="156"/>
      <c r="T38" s="156"/>
      <c r="U38" s="156"/>
      <c r="V38" s="156"/>
      <c r="W38" s="156"/>
      <c r="X38" s="156"/>
      <c r="Y38" s="156"/>
      <c r="Z38" s="156"/>
      <c r="AA38" s="156"/>
      <c r="AB38" s="156"/>
      <c r="AC38" s="156"/>
    </row>
    <row r="39" spans="1:30" x14ac:dyDescent="0.35">
      <c r="A39" s="154"/>
      <c r="B39" s="154"/>
      <c r="C39" s="154"/>
      <c r="D39" s="154"/>
      <c r="E39" s="154"/>
      <c r="F39" s="154"/>
      <c r="G39" s="154"/>
      <c r="H39" s="154"/>
      <c r="I39" s="154"/>
      <c r="J39" s="154"/>
      <c r="K39" s="154"/>
      <c r="L39" s="156"/>
      <c r="M39" s="156"/>
      <c r="N39" s="156"/>
      <c r="O39" s="156"/>
      <c r="P39" s="156"/>
      <c r="Q39" s="156"/>
      <c r="R39" s="156"/>
      <c r="S39" s="156"/>
      <c r="T39" s="156"/>
      <c r="U39" s="156"/>
      <c r="V39" s="156"/>
      <c r="W39" s="156"/>
      <c r="X39" s="156"/>
      <c r="Y39" s="156"/>
      <c r="Z39" s="156"/>
      <c r="AA39" s="156"/>
      <c r="AB39" s="156"/>
      <c r="AC39" s="156"/>
      <c r="AD39" s="156"/>
    </row>
    <row r="40" spans="1:30" s="156" customFormat="1" x14ac:dyDescent="0.35">
      <c r="A40" s="154"/>
      <c r="B40" s="154"/>
      <c r="C40" s="154"/>
      <c r="D40" s="154"/>
      <c r="E40" s="154"/>
      <c r="F40" s="154"/>
      <c r="G40" s="154"/>
      <c r="H40" s="154"/>
      <c r="I40" s="154"/>
      <c r="J40" s="154"/>
      <c r="K40" s="154"/>
    </row>
    <row r="41" spans="1:30" s="156" customFormat="1" hidden="1" x14ac:dyDescent="0.35">
      <c r="A41" s="154"/>
      <c r="B41" s="154"/>
      <c r="C41" s="154"/>
      <c r="D41" s="154"/>
      <c r="E41" s="154"/>
      <c r="F41" s="154"/>
      <c r="G41" s="154"/>
      <c r="H41" s="154"/>
      <c r="I41" s="154"/>
      <c r="J41" s="154"/>
      <c r="K41" s="154"/>
    </row>
    <row r="42" spans="1:30" s="156" customFormat="1" hidden="1" x14ac:dyDescent="0.35">
      <c r="A42" s="154"/>
      <c r="B42" s="154"/>
      <c r="C42" s="154"/>
      <c r="D42" s="154"/>
      <c r="E42" s="154"/>
      <c r="F42" s="154"/>
      <c r="G42" s="154"/>
      <c r="H42" s="154"/>
      <c r="I42" s="154"/>
      <c r="J42" s="154"/>
      <c r="K42" s="154"/>
    </row>
    <row r="43" spans="1:30" s="156" customFormat="1" hidden="1" x14ac:dyDescent="0.35">
      <c r="A43" s="154"/>
      <c r="B43" s="154"/>
      <c r="C43" s="154"/>
      <c r="D43" s="154"/>
      <c r="E43" s="154"/>
      <c r="F43" s="154"/>
      <c r="G43" s="154"/>
      <c r="H43" s="154"/>
      <c r="I43" s="154"/>
      <c r="J43" s="154"/>
      <c r="K43" s="154"/>
    </row>
    <row r="44" spans="1:30" hidden="1" x14ac:dyDescent="0.35">
      <c r="O44" s="156"/>
      <c r="P44" s="156"/>
      <c r="Q44" s="156"/>
      <c r="R44" s="156"/>
      <c r="S44" s="156"/>
      <c r="T44" s="156"/>
      <c r="U44" s="156"/>
    </row>
    <row r="45" spans="1:30" x14ac:dyDescent="0.35"/>
  </sheetData>
  <sheetProtection algorithmName="SHA-512" hashValue="2GvmhHiD4wuKBCSub+hkwpKDFIn1e3AiY5CFqozm+eBlAHRtgpZR/oAmZM81ryKOzx6tZd9AdNeyCWfMqIX83A==" saltValue="f/m8iPhW9vL5wStvxJrKQg==" spinCount="100000" sheet="1" objects="1" scenarios="1" formatCells="0" formatColumns="0" formatRows="0"/>
  <mergeCells count="24">
    <mergeCell ref="B32:E32"/>
    <mergeCell ref="D6:D7"/>
    <mergeCell ref="B2:I2"/>
    <mergeCell ref="Y6:Y7"/>
    <mergeCell ref="P5:Y5"/>
    <mergeCell ref="J5:O5"/>
    <mergeCell ref="B6:B7"/>
    <mergeCell ref="F6:F7"/>
    <mergeCell ref="E6:E7"/>
    <mergeCell ref="F34:J38"/>
    <mergeCell ref="R6:T6"/>
    <mergeCell ref="U6:W6"/>
    <mergeCell ref="X6:X7"/>
    <mergeCell ref="N6:N7"/>
    <mergeCell ref="O6:O7"/>
    <mergeCell ref="P6:P7"/>
    <mergeCell ref="Q6:Q7"/>
    <mergeCell ref="J30:M30"/>
    <mergeCell ref="M6:M7"/>
    <mergeCell ref="L6:L7"/>
    <mergeCell ref="G6:G7"/>
    <mergeCell ref="H6:I6"/>
    <mergeCell ref="J6:J7"/>
    <mergeCell ref="K6:K7"/>
  </mergeCells>
  <phoneticPr fontId="16" type="noConversion"/>
  <conditionalFormatting sqref="B9:B28 D34:E38">
    <cfRule type="notContainsBlanks" dxfId="40" priority="99">
      <formula>LEN(TRIM(B9))&gt;0</formula>
    </cfRule>
  </conditionalFormatting>
  <conditionalFormatting sqref="B34:B35">
    <cfRule type="containsBlanks" dxfId="39" priority="14">
      <formula>LEN(TRIM(B34))=0</formula>
    </cfRule>
  </conditionalFormatting>
  <conditionalFormatting sqref="B34:C38">
    <cfRule type="containsText" dxfId="38" priority="40" operator="containsText" text="Enter custom waste/recycling stream">
      <formula>NOT(ISERROR(SEARCH("Enter custom waste/recycling stream",B34)))</formula>
    </cfRule>
  </conditionalFormatting>
  <conditionalFormatting sqref="E9:I28">
    <cfRule type="notContainsBlanks" dxfId="37" priority="2">
      <formula>LEN(TRIM(E9))&gt;0</formula>
    </cfRule>
  </conditionalFormatting>
  <conditionalFormatting sqref="J9:M28">
    <cfRule type="cellIs" dxfId="36" priority="4" operator="equal">
      <formula>0</formula>
    </cfRule>
  </conditionalFormatting>
  <conditionalFormatting sqref="N9:O28">
    <cfRule type="cellIs" dxfId="35" priority="3" operator="equal">
      <formula>0</formula>
    </cfRule>
  </conditionalFormatting>
  <conditionalFormatting sqref="P9:P28">
    <cfRule type="notContainsBlanks" dxfId="34" priority="22">
      <formula>LEN(TRIM(P9))&gt;0</formula>
    </cfRule>
  </conditionalFormatting>
  <conditionalFormatting sqref="Q9:Q28">
    <cfRule type="cellIs" dxfId="33" priority="5" operator="equal">
      <formula>0</formula>
    </cfRule>
  </conditionalFormatting>
  <conditionalFormatting sqref="R9:S28">
    <cfRule type="notContainsBlanks" dxfId="32" priority="10">
      <formula>LEN(TRIM(R9))&gt;0</formula>
    </cfRule>
  </conditionalFormatting>
  <conditionalFormatting sqref="T9:T28">
    <cfRule type="cellIs" dxfId="31" priority="9" operator="equal">
      <formula>0</formula>
    </cfRule>
  </conditionalFormatting>
  <conditionalFormatting sqref="U9:V28">
    <cfRule type="notContainsBlanks" dxfId="30" priority="11">
      <formula>LEN(TRIM(U9))&gt;0</formula>
    </cfRule>
  </conditionalFormatting>
  <conditionalFormatting sqref="W9:X28">
    <cfRule type="cellIs" dxfId="29" priority="8" operator="equal">
      <formula>0</formula>
    </cfRule>
  </conditionalFormatting>
  <conditionalFormatting sqref="Y9:Y28">
    <cfRule type="cellIs" dxfId="28" priority="6" operator="equal">
      <formula>0</formula>
    </cfRule>
  </conditionalFormatting>
  <dataValidations count="3">
    <dataValidation type="whole" operator="greaterThanOrEqual" allowBlank="1" showInputMessage="1" showErrorMessage="1" sqref="G9:G28" xr:uid="{EA1B2EBD-BB03-4274-9E84-5C1CFEC669B6}">
      <formula1>0</formula1>
    </dataValidation>
    <dataValidation type="decimal" operator="greaterThanOrEqual" allowBlank="1" showInputMessage="1" showErrorMessage="1" sqref="U9:U28 R9:R28 P9:P28 H9:H28" xr:uid="{BF6AC8ED-117A-46A2-AAC7-E3E814E5C47F}">
      <formula1>0</formula1>
    </dataValidation>
    <dataValidation type="list" allowBlank="1" showInputMessage="1" showErrorMessage="1" sqref="F9:F28" xr:uid="{00000000-0002-0000-0100-000000000000}">
      <formula1>INDIRECT($C9)</formula1>
    </dataValidation>
  </dataValidations>
  <pageMargins left="0.7" right="0.7" top="0.75" bottom="0.75" header="0.3" footer="0.3"/>
  <pageSetup paperSize="9" scale="91" orientation="landscape" horizontalDpi="4294967295" verticalDpi="4294967295" r:id="rId1"/>
  <headerFooter>
    <oddHeader>&amp;C&amp;"Microsoft PhagsPa,Bold"Waste and Recycling Performance Calculator</oddHeader>
  </headerFooter>
  <rowBreaks count="1" manualBreakCount="1">
    <brk id="17" max="16383" man="1"/>
  </rowBreaks>
  <ignoredErrors>
    <ignoredError sqref="C23:C25 C27 C10:C22" unlockedFormula="1"/>
  </ignoredError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'Lists - Hidden'!$A$62:$Z$62</xm:f>
          </x14:formula1>
          <xm:sqref>B9:B28</xm:sqref>
        </x14:dataValidation>
        <x14:dataValidation type="list" allowBlank="1" showInputMessage="1" showErrorMessage="1" xr:uid="{00000000-0002-0000-0100-000004000000}">
          <x14:formula1>
            <xm:f>'Lists - Hidden'!$B$63:$Z$63</xm:f>
          </x14:formula1>
          <xm:sqref>C9:C28</xm:sqref>
        </x14:dataValidation>
        <x14:dataValidation type="list" allowBlank="1" showInputMessage="1" showErrorMessage="1" xr:uid="{00000000-0002-0000-0100-000001000000}">
          <x14:formula1>
            <xm:f>'Lists - Hidden'!$E$5:$E$8</xm:f>
          </x14:formula1>
          <xm:sqref>E34:E38</xm:sqref>
        </x14:dataValidation>
        <x14:dataValidation type="list" allowBlank="1" showInputMessage="1" showErrorMessage="1" xr:uid="{00000000-0002-0000-0100-000002000000}">
          <x14:formula1>
            <xm:f>'Lists - Hidden'!$B$20:$B$25</xm:f>
          </x14:formula1>
          <xm:sqref>V9:V28 S9:S28 I9:I28</xm:sqref>
        </x14:dataValidation>
        <x14:dataValidation type="list" allowBlank="1" showInputMessage="1" showErrorMessage="1" xr:uid="{08FC976B-2F3E-46FC-B5C5-4BA2C6F85C20}">
          <x14:formula1>
            <xm:f>'Lists - Hidden'!$E$16:$E$17</xm:f>
          </x14:formula1>
          <xm:sqref>E9:E28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380E7-D24C-421B-8E92-AD04B736B660}">
  <dimension ref="A1:AR35"/>
  <sheetViews>
    <sheetView zoomScaleNormal="100" workbookViewId="0">
      <pane xSplit="3" topLeftCell="D1" activePane="topRight" state="frozen"/>
      <selection pane="topRight" activeCell="E7" sqref="E7"/>
    </sheetView>
  </sheetViews>
  <sheetFormatPr defaultColWidth="0" defaultRowHeight="15" zeroHeight="1" x14ac:dyDescent="0.35"/>
  <cols>
    <col min="1" max="1" width="3.1796875" style="266" customWidth="1"/>
    <col min="2" max="2" width="59.08984375" style="266" customWidth="1"/>
    <col min="3" max="3" width="11.54296875" style="266" hidden="1" customWidth="1"/>
    <col min="4" max="5" width="24.54296875" style="266" customWidth="1"/>
    <col min="6" max="17" width="9.6328125" style="266" customWidth="1"/>
    <col min="18" max="18" width="17.453125" style="266" customWidth="1"/>
    <col min="19" max="19" width="21.6328125" style="5" customWidth="1"/>
    <col min="20" max="31" width="9.6328125" style="5" customWidth="1"/>
    <col min="32" max="33" width="9.6328125" style="5" hidden="1" customWidth="1"/>
    <col min="34" max="34" width="17.6328125" style="5" customWidth="1"/>
    <col min="35" max="35" width="21.6328125" style="5" customWidth="1"/>
    <col min="36" max="36" width="3.1796875" style="5" customWidth="1"/>
    <col min="37" max="37" width="13.7265625" style="5" hidden="1" customWidth="1"/>
    <col min="38" max="39" width="14.81640625" style="5" hidden="1" customWidth="1"/>
    <col min="40" max="40" width="5.54296875" style="5" hidden="1" customWidth="1"/>
    <col min="41" max="43" width="13.81640625" style="5" hidden="1" customWidth="1"/>
    <col min="44" max="16384" width="9" style="5" hidden="1"/>
  </cols>
  <sheetData>
    <row r="1" spans="1:44" ht="27.65" customHeight="1" x14ac:dyDescent="0.35">
      <c r="A1" s="249"/>
      <c r="B1" s="250" t="s">
        <v>294</v>
      </c>
      <c r="C1" s="251"/>
      <c r="D1" s="249"/>
      <c r="E1" s="249"/>
      <c r="F1" s="249"/>
      <c r="G1" s="249"/>
      <c r="H1" s="249"/>
      <c r="I1" s="249"/>
      <c r="J1" s="249"/>
      <c r="K1" s="249"/>
      <c r="L1" s="249"/>
      <c r="M1" s="249"/>
      <c r="N1" s="249"/>
      <c r="O1" s="249"/>
      <c r="P1" s="249"/>
      <c r="Q1" s="249"/>
      <c r="R1" s="249"/>
      <c r="S1" s="249"/>
      <c r="T1" s="2"/>
      <c r="U1" s="2"/>
      <c r="V1" s="2"/>
      <c r="W1" s="2"/>
      <c r="X1" s="2"/>
      <c r="Y1" s="2"/>
      <c r="Z1" s="2"/>
      <c r="AA1" s="2"/>
      <c r="AB1" s="2"/>
      <c r="AC1" s="2"/>
      <c r="AD1" s="2"/>
      <c r="AE1" s="2"/>
      <c r="AF1" s="2"/>
      <c r="AG1" s="2"/>
      <c r="AH1" s="2"/>
      <c r="AI1" s="2"/>
      <c r="AJ1" s="2"/>
      <c r="AK1" s="2"/>
      <c r="AL1" s="2"/>
      <c r="AM1" s="2"/>
      <c r="AN1" s="2"/>
      <c r="AO1" s="2"/>
      <c r="AP1" s="2"/>
      <c r="AQ1" s="2"/>
      <c r="AR1" s="2"/>
    </row>
    <row r="2" spans="1:44" ht="151.5" customHeight="1" x14ac:dyDescent="0.35">
      <c r="A2" s="249"/>
      <c r="B2" s="390" t="s">
        <v>321</v>
      </c>
      <c r="C2" s="390"/>
      <c r="D2" s="390"/>
      <c r="E2" s="390"/>
      <c r="F2" s="390"/>
      <c r="G2" s="390"/>
      <c r="H2" s="390"/>
      <c r="I2" s="390"/>
      <c r="J2" s="249"/>
      <c r="K2" s="249"/>
      <c r="L2" s="249"/>
      <c r="M2" s="249"/>
      <c r="N2" s="249"/>
      <c r="O2" s="249"/>
      <c r="P2" s="249"/>
      <c r="Q2" s="249"/>
      <c r="R2" s="249"/>
      <c r="S2" s="252"/>
      <c r="T2" s="252"/>
      <c r="U2" s="252"/>
      <c r="V2" s="252"/>
      <c r="W2" s="252"/>
      <c r="X2" s="2"/>
      <c r="Y2" s="2"/>
      <c r="Z2" s="2"/>
      <c r="AA2" s="2"/>
      <c r="AB2" s="2"/>
      <c r="AC2" s="2"/>
      <c r="AD2" s="2"/>
      <c r="AE2" s="2"/>
      <c r="AF2" s="2"/>
      <c r="AG2" s="2"/>
      <c r="AH2" s="2"/>
      <c r="AI2" s="2"/>
      <c r="AJ2" s="2"/>
      <c r="AK2" s="2"/>
      <c r="AL2" s="2"/>
      <c r="AM2" s="2"/>
      <c r="AN2" s="2"/>
      <c r="AO2" s="2"/>
      <c r="AP2" s="2"/>
      <c r="AQ2" s="2"/>
      <c r="AR2" s="2"/>
    </row>
    <row r="3" spans="1:44" ht="16" x14ac:dyDescent="0.35">
      <c r="A3" s="249"/>
      <c r="B3" s="253"/>
      <c r="C3" s="252"/>
      <c r="D3" s="252"/>
      <c r="E3" s="252"/>
      <c r="F3" s="252"/>
      <c r="G3" s="252"/>
      <c r="H3" s="252"/>
      <c r="I3" s="252"/>
      <c r="J3" s="254"/>
      <c r="K3" s="254"/>
      <c r="L3" s="254"/>
      <c r="M3" s="254"/>
      <c r="N3" s="254"/>
      <c r="O3" s="254"/>
      <c r="P3" s="254"/>
      <c r="Q3" s="254"/>
      <c r="R3" s="254"/>
      <c r="S3" s="252"/>
      <c r="T3" s="252"/>
      <c r="U3" s="252"/>
      <c r="V3" s="252"/>
      <c r="W3" s="252"/>
      <c r="X3" s="2"/>
      <c r="Y3" s="2"/>
      <c r="Z3" s="2"/>
      <c r="AA3" s="2"/>
      <c r="AB3" s="2"/>
      <c r="AC3" s="2"/>
      <c r="AD3" s="2"/>
      <c r="AE3" s="2"/>
      <c r="AF3" s="2"/>
      <c r="AG3" s="2"/>
      <c r="AH3" s="2"/>
      <c r="AI3" s="2"/>
      <c r="AJ3" s="2"/>
      <c r="AK3" s="2"/>
      <c r="AL3" s="2"/>
      <c r="AM3" s="2"/>
      <c r="AN3" s="2"/>
      <c r="AO3" s="2"/>
      <c r="AP3" s="2"/>
      <c r="AQ3" s="2"/>
      <c r="AR3" s="2"/>
    </row>
    <row r="4" spans="1:44" ht="17.5" x14ac:dyDescent="0.35">
      <c r="A4" s="249"/>
      <c r="B4" s="255"/>
      <c r="C4" s="255"/>
      <c r="D4" s="249"/>
      <c r="E4" s="249"/>
      <c r="F4" s="249"/>
      <c r="G4" s="249"/>
      <c r="H4" s="249"/>
      <c r="I4" s="249"/>
      <c r="J4" s="249"/>
      <c r="K4" s="249"/>
      <c r="L4" s="249"/>
      <c r="M4" s="249"/>
      <c r="N4" s="249"/>
      <c r="O4" s="249"/>
      <c r="P4" s="249"/>
      <c r="Q4" s="249"/>
      <c r="R4" s="249"/>
      <c r="S4" s="249"/>
      <c r="T4" s="2"/>
      <c r="U4" s="2"/>
      <c r="V4" s="2"/>
      <c r="W4" s="2"/>
      <c r="X4" s="2"/>
      <c r="Y4" s="2"/>
      <c r="Z4" s="2"/>
      <c r="AA4" s="2"/>
      <c r="AB4" s="2"/>
      <c r="AC4" s="2"/>
      <c r="AD4" s="2"/>
      <c r="AE4" s="2"/>
      <c r="AF4" s="2"/>
      <c r="AG4" s="2"/>
      <c r="AH4" s="2"/>
      <c r="AI4" s="2"/>
      <c r="AJ4" s="2"/>
      <c r="AK4" s="2"/>
      <c r="AL4" s="2"/>
      <c r="AM4" s="2"/>
      <c r="AN4" s="2"/>
      <c r="AO4" s="2"/>
      <c r="AP4" s="2"/>
      <c r="AQ4" s="2"/>
      <c r="AR4" s="2"/>
    </row>
    <row r="5" spans="1:44" ht="30" customHeight="1" x14ac:dyDescent="0.35">
      <c r="A5" s="249"/>
      <c r="B5" s="256" t="s">
        <v>275</v>
      </c>
      <c r="C5" s="22"/>
      <c r="D5" s="22"/>
      <c r="E5" s="22"/>
      <c r="F5" s="397" t="s">
        <v>14</v>
      </c>
      <c r="G5" s="397"/>
      <c r="H5" s="397"/>
      <c r="I5" s="397"/>
      <c r="J5" s="397"/>
      <c r="K5" s="397"/>
      <c r="L5" s="397"/>
      <c r="M5" s="397"/>
      <c r="N5" s="397"/>
      <c r="O5" s="397"/>
      <c r="P5" s="397"/>
      <c r="Q5" s="397"/>
      <c r="R5" s="397"/>
      <c r="S5" s="397"/>
      <c r="T5" s="393" t="s">
        <v>114</v>
      </c>
      <c r="U5" s="393"/>
      <c r="V5" s="393"/>
      <c r="W5" s="393"/>
      <c r="X5" s="393"/>
      <c r="Y5" s="393"/>
      <c r="Z5" s="393"/>
      <c r="AA5" s="393"/>
      <c r="AB5" s="393"/>
      <c r="AC5" s="393"/>
      <c r="AD5" s="393"/>
      <c r="AE5" s="393"/>
      <c r="AF5" s="393"/>
      <c r="AG5" s="393"/>
      <c r="AH5" s="393"/>
      <c r="AI5" s="393"/>
      <c r="AJ5" s="2"/>
      <c r="AK5" s="2"/>
      <c r="AL5" s="2"/>
      <c r="AM5" s="2"/>
      <c r="AN5" s="2"/>
    </row>
    <row r="6" spans="1:44" ht="51" customHeight="1" x14ac:dyDescent="0.35">
      <c r="A6" s="249"/>
      <c r="B6" s="257" t="s">
        <v>43</v>
      </c>
      <c r="C6" s="258"/>
      <c r="D6" s="259" t="s">
        <v>128</v>
      </c>
      <c r="E6" s="259" t="s">
        <v>307</v>
      </c>
      <c r="F6" s="260" t="s">
        <v>280</v>
      </c>
      <c r="G6" s="260" t="s">
        <v>281</v>
      </c>
      <c r="H6" s="260" t="s">
        <v>282</v>
      </c>
      <c r="I6" s="260" t="s">
        <v>283</v>
      </c>
      <c r="J6" s="260" t="s">
        <v>276</v>
      </c>
      <c r="K6" s="260" t="s">
        <v>284</v>
      </c>
      <c r="L6" s="260" t="s">
        <v>285</v>
      </c>
      <c r="M6" s="260" t="s">
        <v>286</v>
      </c>
      <c r="N6" s="260" t="s">
        <v>287</v>
      </c>
      <c r="O6" s="260" t="s">
        <v>288</v>
      </c>
      <c r="P6" s="260" t="s">
        <v>289</v>
      </c>
      <c r="Q6" s="293" t="s">
        <v>290</v>
      </c>
      <c r="R6" s="328" t="s">
        <v>116</v>
      </c>
      <c r="S6" s="327" t="s">
        <v>118</v>
      </c>
      <c r="T6" s="260" t="s">
        <v>280</v>
      </c>
      <c r="U6" s="260" t="s">
        <v>281</v>
      </c>
      <c r="V6" s="260" t="s">
        <v>282</v>
      </c>
      <c r="W6" s="260" t="s">
        <v>283</v>
      </c>
      <c r="X6" s="260" t="s">
        <v>276</v>
      </c>
      <c r="Y6" s="260" t="s">
        <v>284</v>
      </c>
      <c r="Z6" s="260" t="s">
        <v>285</v>
      </c>
      <c r="AA6" s="260" t="s">
        <v>286</v>
      </c>
      <c r="AB6" s="260" t="s">
        <v>287</v>
      </c>
      <c r="AC6" s="260" t="s">
        <v>288</v>
      </c>
      <c r="AD6" s="260" t="s">
        <v>289</v>
      </c>
      <c r="AE6" s="260" t="s">
        <v>290</v>
      </c>
      <c r="AF6" s="260" t="s">
        <v>299</v>
      </c>
      <c r="AG6" s="260" t="s">
        <v>301</v>
      </c>
      <c r="AH6" s="330" t="s">
        <v>119</v>
      </c>
      <c r="AI6" s="329" t="s">
        <v>113</v>
      </c>
      <c r="AJ6" s="261"/>
      <c r="AK6" s="2"/>
      <c r="AL6" s="2"/>
      <c r="AM6" s="2"/>
      <c r="AN6" s="2"/>
    </row>
    <row r="7" spans="1:44" s="313" customFormat="1" ht="30" customHeight="1" x14ac:dyDescent="0.35">
      <c r="A7" s="308"/>
      <c r="B7" s="309" t="s">
        <v>100</v>
      </c>
      <c r="C7" s="310"/>
      <c r="D7" s="317" t="s">
        <v>142</v>
      </c>
      <c r="E7" s="316" t="s">
        <v>100</v>
      </c>
      <c r="F7" s="391" t="s">
        <v>300</v>
      </c>
      <c r="G7" s="392"/>
      <c r="H7" s="392"/>
      <c r="I7" s="392"/>
      <c r="J7" s="392"/>
      <c r="K7" s="392"/>
      <c r="L7" s="392"/>
      <c r="M7" s="392"/>
      <c r="N7" s="392"/>
      <c r="O7" s="392"/>
      <c r="P7" s="392"/>
      <c r="Q7" s="392"/>
      <c r="R7" s="338" t="s">
        <v>49</v>
      </c>
      <c r="S7" s="335" t="s">
        <v>312</v>
      </c>
      <c r="T7" s="394" t="s">
        <v>293</v>
      </c>
      <c r="U7" s="395"/>
      <c r="V7" s="395"/>
      <c r="W7" s="395"/>
      <c r="X7" s="395"/>
      <c r="Y7" s="395"/>
      <c r="Z7" s="395"/>
      <c r="AA7" s="395"/>
      <c r="AB7" s="395"/>
      <c r="AC7" s="395"/>
      <c r="AD7" s="395"/>
      <c r="AE7" s="396"/>
      <c r="AF7" s="309"/>
      <c r="AG7" s="311"/>
      <c r="AH7" s="338" t="s">
        <v>49</v>
      </c>
      <c r="AI7" s="335" t="s">
        <v>312</v>
      </c>
      <c r="AJ7" s="312"/>
      <c r="AK7" s="312"/>
      <c r="AL7" s="312"/>
      <c r="AM7" s="312"/>
      <c r="AN7" s="312"/>
    </row>
    <row r="8" spans="1:44" ht="18" customHeight="1" x14ac:dyDescent="0.35">
      <c r="A8" s="262"/>
      <c r="B8" s="99"/>
      <c r="C8" s="263" t="str">
        <f>IFERROR(VLOOKUP('2b Enter data - Actual weight'!B8,'Lists - Hidden'!$C$34:$D$58,2,FALSE),"")</f>
        <v/>
      </c>
      <c r="D8" s="318" t="str">
        <f>IFERROR(VLOOKUP(B8,'Lists - Hidden'!$C$34:$E$58,3,FALSE),"")</f>
        <v/>
      </c>
      <c r="E8" s="326"/>
      <c r="F8" s="246"/>
      <c r="G8" s="185"/>
      <c r="H8" s="185"/>
      <c r="I8" s="185"/>
      <c r="J8" s="185"/>
      <c r="K8" s="185"/>
      <c r="L8" s="185"/>
      <c r="M8" s="185"/>
      <c r="N8" s="185"/>
      <c r="O8" s="185"/>
      <c r="P8" s="185"/>
      <c r="Q8" s="247"/>
      <c r="R8" s="336" t="str">
        <f>IF($E8='Lists - Hidden'!$E$16,SUM('2b Enter data - Actual weight'!F8:Q8),"")</f>
        <v/>
      </c>
      <c r="S8" s="325" t="str">
        <f>IFERROR(IF($E8='Lists - Hidden'!$E$17,SUM('2b Enter data - Actual weight'!F8:Q8),R8*'1 Review details'!$D$16),"")</f>
        <v/>
      </c>
      <c r="T8" s="204"/>
      <c r="U8" s="245"/>
      <c r="V8" s="245"/>
      <c r="W8" s="245"/>
      <c r="X8" s="245"/>
      <c r="Y8" s="245"/>
      <c r="Z8" s="245"/>
      <c r="AA8" s="245"/>
      <c r="AB8" s="245"/>
      <c r="AC8" s="245"/>
      <c r="AD8" s="245"/>
      <c r="AE8" s="248"/>
      <c r="AF8" s="278">
        <f>SUMIF($T8:$AE8,"&gt;0")</f>
        <v>0</v>
      </c>
      <c r="AG8" s="278">
        <f>SUMIF($T8:$AE8,"&lt;0")</f>
        <v>0</v>
      </c>
      <c r="AH8" s="341" t="str">
        <f>IF($E8='Lists - Hidden'!$E$16,SUM('2b Enter data - Actual weight'!T8:AE8),"")</f>
        <v/>
      </c>
      <c r="AI8" s="339" t="str">
        <f>IFERROR(IF($E8='Lists - Hidden'!$E$17,SUM('2b Enter data - Actual weight'!T8:AE8),SUM(T8:AE8)*'1 Review details'!$D$16),"")</f>
        <v/>
      </c>
      <c r="AJ8" s="2"/>
      <c r="AK8" s="2"/>
      <c r="AL8" s="2"/>
      <c r="AM8" s="2"/>
      <c r="AN8" s="2"/>
    </row>
    <row r="9" spans="1:44" ht="18" customHeight="1" x14ac:dyDescent="0.35">
      <c r="A9" s="262"/>
      <c r="B9" s="99"/>
      <c r="C9" s="263" t="str">
        <f>IFERROR(VLOOKUP('2b Enter data - Actual weight'!B9,'Lists - Hidden'!$C$34:$D$58,2,FALSE),"")</f>
        <v/>
      </c>
      <c r="D9" s="318" t="str">
        <f>IFERROR(VLOOKUP(B9,'Lists - Hidden'!$C$34:$E$58,3,FALSE),"")</f>
        <v/>
      </c>
      <c r="E9" s="326"/>
      <c r="F9" s="246"/>
      <c r="G9" s="185"/>
      <c r="H9" s="185"/>
      <c r="I9" s="185"/>
      <c r="J9" s="185"/>
      <c r="K9" s="185"/>
      <c r="L9" s="185"/>
      <c r="M9" s="185"/>
      <c r="N9" s="185"/>
      <c r="O9" s="185"/>
      <c r="P9" s="185"/>
      <c r="Q9" s="247"/>
      <c r="R9" s="336" t="str">
        <f>IF($E9='Lists - Hidden'!$E$16,SUM('2b Enter data - Actual weight'!F9:Q9),"")</f>
        <v/>
      </c>
      <c r="S9" s="325" t="str">
        <f>IFERROR(IF($E9='Lists - Hidden'!$E$17,SUM('2b Enter data - Actual weight'!F9:Q9),R9*'1 Review details'!$D$16),"")</f>
        <v/>
      </c>
      <c r="T9" s="204"/>
      <c r="U9" s="245"/>
      <c r="V9" s="245"/>
      <c r="W9" s="245"/>
      <c r="X9" s="245"/>
      <c r="Y9" s="245"/>
      <c r="Z9" s="245"/>
      <c r="AA9" s="245"/>
      <c r="AB9" s="245"/>
      <c r="AC9" s="245"/>
      <c r="AD9" s="245"/>
      <c r="AE9" s="248"/>
      <c r="AF9" s="278">
        <f t="shared" ref="AF9:AF21" si="0">SUMIF($T9:$AE9,"&gt;0")</f>
        <v>0</v>
      </c>
      <c r="AG9" s="278">
        <f t="shared" ref="AG9:AG21" si="1">SUMIF($T9:$AE9,"&lt;0")</f>
        <v>0</v>
      </c>
      <c r="AH9" s="341" t="str">
        <f>IF($E9='Lists - Hidden'!$E$16,SUM('2b Enter data - Actual weight'!T9:AE9),"")</f>
        <v/>
      </c>
      <c r="AI9" s="339" t="str">
        <f>IFERROR(IF($E9='Lists - Hidden'!$E$17,SUM('2b Enter data - Actual weight'!T9:AE9),SUM(T9:AE9)*'1 Review details'!$D$16),"")</f>
        <v/>
      </c>
      <c r="AJ9" s="2"/>
      <c r="AK9" s="2"/>
      <c r="AL9" s="2"/>
      <c r="AM9" s="2"/>
      <c r="AN9" s="2"/>
    </row>
    <row r="10" spans="1:44" ht="18" customHeight="1" x14ac:dyDescent="0.35">
      <c r="A10" s="262"/>
      <c r="B10" s="99"/>
      <c r="C10" s="263" t="str">
        <f>IFERROR(VLOOKUP('2b Enter data - Actual weight'!B10,'Lists - Hidden'!$C$34:$D$58,2,FALSE),"")</f>
        <v/>
      </c>
      <c r="D10" s="318" t="str">
        <f>IFERROR(VLOOKUP(B10,'Lists - Hidden'!$C$34:$E$58,3,FALSE),"")</f>
        <v/>
      </c>
      <c r="E10" s="326"/>
      <c r="F10" s="246"/>
      <c r="G10" s="185"/>
      <c r="H10" s="185"/>
      <c r="I10" s="185"/>
      <c r="J10" s="185"/>
      <c r="K10" s="185"/>
      <c r="L10" s="185"/>
      <c r="M10" s="185"/>
      <c r="N10" s="185"/>
      <c r="O10" s="185"/>
      <c r="P10" s="185"/>
      <c r="Q10" s="247"/>
      <c r="R10" s="336" t="str">
        <f>IF($E10='Lists - Hidden'!$E$16,SUM('2b Enter data - Actual weight'!F10:Q10),"")</f>
        <v/>
      </c>
      <c r="S10" s="325" t="str">
        <f>IFERROR(IF($E10='Lists - Hidden'!$E$17,SUM('2b Enter data - Actual weight'!F10:Q10),R10*'1 Review details'!$D$16),"")</f>
        <v/>
      </c>
      <c r="T10" s="204"/>
      <c r="U10" s="245"/>
      <c r="V10" s="245"/>
      <c r="W10" s="245"/>
      <c r="X10" s="245"/>
      <c r="Y10" s="245"/>
      <c r="Z10" s="245"/>
      <c r="AA10" s="245"/>
      <c r="AB10" s="245"/>
      <c r="AC10" s="245"/>
      <c r="AD10" s="245"/>
      <c r="AE10" s="248"/>
      <c r="AF10" s="278">
        <f t="shared" si="0"/>
        <v>0</v>
      </c>
      <c r="AG10" s="278">
        <f t="shared" si="1"/>
        <v>0</v>
      </c>
      <c r="AH10" s="341" t="str">
        <f>IF($E10='Lists - Hidden'!$E$16,SUM('2b Enter data - Actual weight'!T10:AE10),"")</f>
        <v/>
      </c>
      <c r="AI10" s="339" t="str">
        <f>IFERROR(IF($E10='Lists - Hidden'!$E$17,SUM('2b Enter data - Actual weight'!T10:AE10),SUM(T10:AE10)*'1 Review details'!$D$16),"")</f>
        <v/>
      </c>
      <c r="AJ10" s="2"/>
      <c r="AK10" s="2"/>
      <c r="AL10" s="2"/>
      <c r="AM10" s="2"/>
      <c r="AN10" s="2"/>
    </row>
    <row r="11" spans="1:44" ht="18" customHeight="1" x14ac:dyDescent="0.35">
      <c r="A11" s="262"/>
      <c r="B11" s="99"/>
      <c r="C11" s="263" t="str">
        <f>IFERROR(VLOOKUP('2b Enter data - Actual weight'!B11,'Lists - Hidden'!$C$34:$D$58,2,FALSE),"")</f>
        <v/>
      </c>
      <c r="D11" s="318" t="str">
        <f>IFERROR(VLOOKUP(B11,'Lists - Hidden'!$C$34:$E$58,3,FALSE),"")</f>
        <v/>
      </c>
      <c r="E11" s="326"/>
      <c r="F11" s="246"/>
      <c r="G11" s="185"/>
      <c r="H11" s="185"/>
      <c r="I11" s="185"/>
      <c r="J11" s="185"/>
      <c r="K11" s="185"/>
      <c r="L11" s="185"/>
      <c r="M11" s="185"/>
      <c r="N11" s="185"/>
      <c r="O11" s="185"/>
      <c r="P11" s="185"/>
      <c r="Q11" s="247"/>
      <c r="R11" s="336" t="str">
        <f>IF($E11='Lists - Hidden'!$E$16,SUM('2b Enter data - Actual weight'!F11:Q11),"")</f>
        <v/>
      </c>
      <c r="S11" s="325" t="str">
        <f>IFERROR(IF($E11='Lists - Hidden'!$E$17,SUM('2b Enter data - Actual weight'!F11:Q11),R11*'1 Review details'!$D$16),"")</f>
        <v/>
      </c>
      <c r="T11" s="204"/>
      <c r="U11" s="245"/>
      <c r="V11" s="245"/>
      <c r="W11" s="245"/>
      <c r="X11" s="245"/>
      <c r="Y11" s="245"/>
      <c r="Z11" s="245"/>
      <c r="AA11" s="245"/>
      <c r="AB11" s="245"/>
      <c r="AC11" s="245"/>
      <c r="AD11" s="245"/>
      <c r="AE11" s="248"/>
      <c r="AF11" s="278">
        <f t="shared" si="0"/>
        <v>0</v>
      </c>
      <c r="AG11" s="278">
        <f t="shared" si="1"/>
        <v>0</v>
      </c>
      <c r="AH11" s="341" t="str">
        <f>IF($E11='Lists - Hidden'!$E$16,SUM('2b Enter data - Actual weight'!T11:AE11),"")</f>
        <v/>
      </c>
      <c r="AI11" s="339" t="str">
        <f>IFERROR(IF($E11='Lists - Hidden'!$E$17,SUM('2b Enter data - Actual weight'!T11:AE11),SUM(T11:AE11)*'1 Review details'!$D$16),"")</f>
        <v/>
      </c>
      <c r="AJ11" s="2"/>
      <c r="AK11" s="2"/>
      <c r="AL11" s="2"/>
      <c r="AM11" s="2"/>
      <c r="AN11" s="2"/>
    </row>
    <row r="12" spans="1:44" ht="18" customHeight="1" x14ac:dyDescent="0.35">
      <c r="A12" s="262"/>
      <c r="B12" s="99"/>
      <c r="C12" s="263" t="str">
        <f>IFERROR(VLOOKUP('2b Enter data - Actual weight'!B12,'Lists - Hidden'!$C$34:$D$58,2,FALSE),"")</f>
        <v/>
      </c>
      <c r="D12" s="318" t="str">
        <f>IFERROR(VLOOKUP(B12,'Lists - Hidden'!$C$34:$E$58,3,FALSE),"")</f>
        <v/>
      </c>
      <c r="E12" s="326"/>
      <c r="F12" s="246"/>
      <c r="G12" s="185"/>
      <c r="H12" s="185"/>
      <c r="I12" s="185"/>
      <c r="J12" s="185"/>
      <c r="K12" s="185"/>
      <c r="L12" s="185"/>
      <c r="M12" s="185"/>
      <c r="N12" s="185"/>
      <c r="O12" s="185"/>
      <c r="P12" s="185"/>
      <c r="Q12" s="247"/>
      <c r="R12" s="336" t="str">
        <f>IF($E12='Lists - Hidden'!$E$16,SUM('2b Enter data - Actual weight'!F12:Q12),"")</f>
        <v/>
      </c>
      <c r="S12" s="325" t="str">
        <f>IFERROR(IF($E12='Lists - Hidden'!$E$17,SUM('2b Enter data - Actual weight'!F12:Q12),R12*'1 Review details'!$D$16),"")</f>
        <v/>
      </c>
      <c r="T12" s="204"/>
      <c r="U12" s="245"/>
      <c r="V12" s="245"/>
      <c r="W12" s="245"/>
      <c r="X12" s="245"/>
      <c r="Y12" s="245"/>
      <c r="Z12" s="245"/>
      <c r="AA12" s="245"/>
      <c r="AB12" s="245"/>
      <c r="AC12" s="245"/>
      <c r="AD12" s="245"/>
      <c r="AE12" s="248"/>
      <c r="AF12" s="278">
        <f t="shared" si="0"/>
        <v>0</v>
      </c>
      <c r="AG12" s="278">
        <f t="shared" si="1"/>
        <v>0</v>
      </c>
      <c r="AH12" s="341" t="str">
        <f>IF($E12='Lists - Hidden'!$E$16,SUM('2b Enter data - Actual weight'!T12:AE12),"")</f>
        <v/>
      </c>
      <c r="AI12" s="339" t="str">
        <f>IFERROR(IF($E12='Lists - Hidden'!$E$17,SUM('2b Enter data - Actual weight'!T12:AE12),SUM(T12:AE12)*'1 Review details'!$D$16),"")</f>
        <v/>
      </c>
      <c r="AJ12" s="2"/>
      <c r="AK12" s="2"/>
      <c r="AL12" s="2"/>
      <c r="AM12" s="2"/>
      <c r="AN12" s="2"/>
    </row>
    <row r="13" spans="1:44" ht="18" customHeight="1" x14ac:dyDescent="0.35">
      <c r="A13" s="262"/>
      <c r="B13" s="99"/>
      <c r="C13" s="263" t="str">
        <f>IFERROR(VLOOKUP('2b Enter data - Actual weight'!B13,'Lists - Hidden'!$C$34:$D$58,2,FALSE),"")</f>
        <v/>
      </c>
      <c r="D13" s="318" t="str">
        <f>IFERROR(VLOOKUP(B13,'Lists - Hidden'!$C$34:$E$58,3,FALSE),"")</f>
        <v/>
      </c>
      <c r="E13" s="326"/>
      <c r="F13" s="246"/>
      <c r="G13" s="185"/>
      <c r="H13" s="185"/>
      <c r="I13" s="185"/>
      <c r="J13" s="185"/>
      <c r="K13" s="185"/>
      <c r="L13" s="185"/>
      <c r="M13" s="185"/>
      <c r="N13" s="185"/>
      <c r="O13" s="185"/>
      <c r="P13" s="185"/>
      <c r="Q13" s="247"/>
      <c r="R13" s="336" t="str">
        <f>IF($E13='Lists - Hidden'!$E$16,SUM('2b Enter data - Actual weight'!F13:Q13),"")</f>
        <v/>
      </c>
      <c r="S13" s="325" t="str">
        <f>IFERROR(IF($E13='Lists - Hidden'!$E$17,SUM('2b Enter data - Actual weight'!F13:Q13),R13*'1 Review details'!$D$16),"")</f>
        <v/>
      </c>
      <c r="T13" s="204"/>
      <c r="U13" s="245"/>
      <c r="V13" s="245"/>
      <c r="W13" s="245"/>
      <c r="X13" s="245"/>
      <c r="Y13" s="245"/>
      <c r="Z13" s="245"/>
      <c r="AA13" s="245"/>
      <c r="AB13" s="245"/>
      <c r="AC13" s="245"/>
      <c r="AD13" s="245"/>
      <c r="AE13" s="248"/>
      <c r="AF13" s="278">
        <f t="shared" si="0"/>
        <v>0</v>
      </c>
      <c r="AG13" s="278">
        <f t="shared" si="1"/>
        <v>0</v>
      </c>
      <c r="AH13" s="341" t="str">
        <f>IF($E13='Lists - Hidden'!$E$16,SUM('2b Enter data - Actual weight'!T13:AE13),"")</f>
        <v/>
      </c>
      <c r="AI13" s="339" t="str">
        <f>IFERROR(IF($E13='Lists - Hidden'!$E$17,SUM('2b Enter data - Actual weight'!T13:AE13),SUM(T13:AE13)*'1 Review details'!$D$16),"")</f>
        <v/>
      </c>
      <c r="AJ13" s="2"/>
      <c r="AK13" s="2"/>
      <c r="AL13" s="2"/>
      <c r="AM13" s="2"/>
      <c r="AN13" s="2"/>
    </row>
    <row r="14" spans="1:44" ht="18" customHeight="1" x14ac:dyDescent="0.35">
      <c r="A14" s="262"/>
      <c r="B14" s="99"/>
      <c r="C14" s="263" t="str">
        <f>IFERROR(VLOOKUP('2b Enter data - Actual weight'!B14,'Lists - Hidden'!$C$34:$D$58,2,FALSE),"")</f>
        <v/>
      </c>
      <c r="D14" s="318" t="str">
        <f>IFERROR(VLOOKUP(B14,'Lists - Hidden'!$C$34:$E$58,3,FALSE),"")</f>
        <v/>
      </c>
      <c r="E14" s="326"/>
      <c r="F14" s="246"/>
      <c r="G14" s="185"/>
      <c r="H14" s="185"/>
      <c r="I14" s="185"/>
      <c r="J14" s="185"/>
      <c r="K14" s="185"/>
      <c r="L14" s="185"/>
      <c r="M14" s="185"/>
      <c r="N14" s="185"/>
      <c r="O14" s="185"/>
      <c r="P14" s="185"/>
      <c r="Q14" s="247"/>
      <c r="R14" s="336" t="str">
        <f>IF($E14='Lists - Hidden'!$E$16,SUM('2b Enter data - Actual weight'!F14:Q14),"")</f>
        <v/>
      </c>
      <c r="S14" s="325" t="str">
        <f>IFERROR(IF($E14='Lists - Hidden'!$E$17,SUM('2b Enter data - Actual weight'!F14:Q14),R14*'1 Review details'!$D$16),"")</f>
        <v/>
      </c>
      <c r="T14" s="204"/>
      <c r="U14" s="245"/>
      <c r="V14" s="245"/>
      <c r="W14" s="245"/>
      <c r="X14" s="245"/>
      <c r="Y14" s="245"/>
      <c r="Z14" s="245"/>
      <c r="AA14" s="245"/>
      <c r="AB14" s="245"/>
      <c r="AC14" s="245"/>
      <c r="AD14" s="245"/>
      <c r="AE14" s="248"/>
      <c r="AF14" s="278">
        <f t="shared" si="0"/>
        <v>0</v>
      </c>
      <c r="AG14" s="278">
        <f t="shared" si="1"/>
        <v>0</v>
      </c>
      <c r="AH14" s="341" t="str">
        <f>IF($E14='Lists - Hidden'!$E$16,SUM('2b Enter data - Actual weight'!T14:AE14),"")</f>
        <v/>
      </c>
      <c r="AI14" s="339" t="str">
        <f>IFERROR(IF($E14='Lists - Hidden'!$E$17,SUM('2b Enter data - Actual weight'!T14:AE14),SUM(T14:AE14)*'1 Review details'!$D$16),"")</f>
        <v/>
      </c>
      <c r="AJ14" s="2"/>
      <c r="AK14" s="2"/>
      <c r="AL14" s="2"/>
      <c r="AM14" s="2"/>
      <c r="AN14" s="2"/>
    </row>
    <row r="15" spans="1:44" ht="18" customHeight="1" x14ac:dyDescent="0.35">
      <c r="A15" s="262"/>
      <c r="B15" s="99"/>
      <c r="C15" s="263" t="str">
        <f>IFERROR(VLOOKUP('2b Enter data - Actual weight'!B15,'Lists - Hidden'!$C$34:$D$58,2,FALSE),"")</f>
        <v/>
      </c>
      <c r="D15" s="318" t="str">
        <f>IFERROR(VLOOKUP(B15,'Lists - Hidden'!$C$34:$E$58,3,FALSE),"")</f>
        <v/>
      </c>
      <c r="E15" s="326"/>
      <c r="F15" s="246"/>
      <c r="G15" s="185"/>
      <c r="H15" s="185"/>
      <c r="I15" s="185"/>
      <c r="J15" s="185"/>
      <c r="K15" s="185"/>
      <c r="L15" s="185"/>
      <c r="M15" s="185"/>
      <c r="N15" s="185"/>
      <c r="O15" s="185"/>
      <c r="P15" s="185"/>
      <c r="Q15" s="247"/>
      <c r="R15" s="336" t="str">
        <f>IF($E15='Lists - Hidden'!$E$16,SUM('2b Enter data - Actual weight'!F15:Q15),"")</f>
        <v/>
      </c>
      <c r="S15" s="325" t="str">
        <f>IFERROR(IF($E15='Lists - Hidden'!$E$17,SUM('2b Enter data - Actual weight'!F15:Q15),R15*'1 Review details'!$D$16),"")</f>
        <v/>
      </c>
      <c r="T15" s="204"/>
      <c r="U15" s="245"/>
      <c r="V15" s="245"/>
      <c r="W15" s="245"/>
      <c r="X15" s="245"/>
      <c r="Y15" s="245"/>
      <c r="Z15" s="245"/>
      <c r="AA15" s="245"/>
      <c r="AB15" s="245"/>
      <c r="AC15" s="245"/>
      <c r="AD15" s="245"/>
      <c r="AE15" s="248"/>
      <c r="AF15" s="278">
        <f t="shared" si="0"/>
        <v>0</v>
      </c>
      <c r="AG15" s="278">
        <f t="shared" si="1"/>
        <v>0</v>
      </c>
      <c r="AH15" s="341" t="str">
        <f>IF($E15='Lists - Hidden'!$E$16,SUM('2b Enter data - Actual weight'!T15:AE15),"")</f>
        <v/>
      </c>
      <c r="AI15" s="339" t="str">
        <f>IFERROR(IF($E15='Lists - Hidden'!$E$17,SUM('2b Enter data - Actual weight'!T15:AE15),SUM(T15:AE15)*'1 Review details'!$D$16),"")</f>
        <v/>
      </c>
      <c r="AJ15" s="2"/>
      <c r="AK15" s="2"/>
      <c r="AL15" s="2"/>
      <c r="AM15" s="2"/>
      <c r="AN15" s="2"/>
    </row>
    <row r="16" spans="1:44" ht="18" customHeight="1" x14ac:dyDescent="0.35">
      <c r="A16" s="262"/>
      <c r="B16" s="99"/>
      <c r="C16" s="263" t="str">
        <f>IFERROR(VLOOKUP('2b Enter data - Actual weight'!B16,'Lists - Hidden'!$C$34:$D$58,2,FALSE),"")</f>
        <v/>
      </c>
      <c r="D16" s="318" t="str">
        <f>IFERROR(VLOOKUP(B16,'Lists - Hidden'!$C$34:$E$58,3,FALSE),"")</f>
        <v/>
      </c>
      <c r="E16" s="326"/>
      <c r="F16" s="246"/>
      <c r="G16" s="185"/>
      <c r="H16" s="185"/>
      <c r="I16" s="185"/>
      <c r="J16" s="185"/>
      <c r="K16" s="185"/>
      <c r="L16" s="185"/>
      <c r="M16" s="185"/>
      <c r="N16" s="185"/>
      <c r="O16" s="185"/>
      <c r="P16" s="185"/>
      <c r="Q16" s="247"/>
      <c r="R16" s="336" t="str">
        <f>IF($E16='Lists - Hidden'!$E$16,SUM('2b Enter data - Actual weight'!F16:Q16),"")</f>
        <v/>
      </c>
      <c r="S16" s="325" t="str">
        <f>IFERROR(IF($E16='Lists - Hidden'!$E$17,SUM('2b Enter data - Actual weight'!F16:Q16),R16*'1 Review details'!$D$16),"")</f>
        <v/>
      </c>
      <c r="T16" s="204"/>
      <c r="U16" s="245"/>
      <c r="V16" s="245"/>
      <c r="W16" s="245"/>
      <c r="X16" s="245"/>
      <c r="Y16" s="245"/>
      <c r="Z16" s="245"/>
      <c r="AA16" s="245"/>
      <c r="AB16" s="245"/>
      <c r="AC16" s="245"/>
      <c r="AD16" s="245"/>
      <c r="AE16" s="248"/>
      <c r="AF16" s="278">
        <f t="shared" si="0"/>
        <v>0</v>
      </c>
      <c r="AG16" s="278">
        <f t="shared" si="1"/>
        <v>0</v>
      </c>
      <c r="AH16" s="341" t="str">
        <f>IF($E16='Lists - Hidden'!$E$16,SUM('2b Enter data - Actual weight'!T16:AE16),"")</f>
        <v/>
      </c>
      <c r="AI16" s="339" t="str">
        <f>IFERROR(IF($E16='Lists - Hidden'!$E$17,SUM('2b Enter data - Actual weight'!T16:AE16),SUM(T16:AE16)*'1 Review details'!$D$16),"")</f>
        <v/>
      </c>
      <c r="AJ16" s="2"/>
      <c r="AK16" s="2"/>
      <c r="AL16" s="2"/>
      <c r="AM16" s="2"/>
      <c r="AN16" s="2"/>
    </row>
    <row r="17" spans="1:44" ht="18" customHeight="1" x14ac:dyDescent="0.35">
      <c r="A17" s="262"/>
      <c r="B17" s="99"/>
      <c r="C17" s="263" t="str">
        <f>IFERROR(VLOOKUP('2b Enter data - Actual weight'!B17,'Lists - Hidden'!$C$34:$D$58,2,FALSE),"")</f>
        <v/>
      </c>
      <c r="D17" s="318" t="str">
        <f>IFERROR(VLOOKUP(B17,'Lists - Hidden'!$C$34:$E$58,3,FALSE),"")</f>
        <v/>
      </c>
      <c r="E17" s="326"/>
      <c r="F17" s="246"/>
      <c r="G17" s="185"/>
      <c r="H17" s="185"/>
      <c r="I17" s="185"/>
      <c r="J17" s="185"/>
      <c r="K17" s="185"/>
      <c r="L17" s="185"/>
      <c r="M17" s="185"/>
      <c r="N17" s="185"/>
      <c r="O17" s="185"/>
      <c r="P17" s="185"/>
      <c r="Q17" s="247"/>
      <c r="R17" s="336" t="str">
        <f>IF($E17='Lists - Hidden'!$E$16,SUM('2b Enter data - Actual weight'!F17:Q17),"")</f>
        <v/>
      </c>
      <c r="S17" s="325" t="str">
        <f>IFERROR(IF($E17='Lists - Hidden'!$E$17,SUM('2b Enter data - Actual weight'!F17:Q17),R17*'1 Review details'!$D$16),"")</f>
        <v/>
      </c>
      <c r="T17" s="204"/>
      <c r="U17" s="245"/>
      <c r="V17" s="245"/>
      <c r="W17" s="245"/>
      <c r="X17" s="245"/>
      <c r="Y17" s="245"/>
      <c r="Z17" s="245"/>
      <c r="AA17" s="245"/>
      <c r="AB17" s="245"/>
      <c r="AC17" s="245"/>
      <c r="AD17" s="245"/>
      <c r="AE17" s="248"/>
      <c r="AF17" s="278">
        <f t="shared" si="0"/>
        <v>0</v>
      </c>
      <c r="AG17" s="278">
        <f t="shared" si="1"/>
        <v>0</v>
      </c>
      <c r="AH17" s="341" t="str">
        <f>IF($E17='Lists - Hidden'!$E$16,SUM('2b Enter data - Actual weight'!T17:AE17),"")</f>
        <v/>
      </c>
      <c r="AI17" s="339" t="str">
        <f>IFERROR(IF($E17='Lists - Hidden'!$E$17,SUM('2b Enter data - Actual weight'!T17:AE17),SUM(T17:AE17)*'1 Review details'!$D$16),"")</f>
        <v/>
      </c>
      <c r="AJ17" s="2"/>
      <c r="AK17" s="2"/>
      <c r="AL17" s="2"/>
      <c r="AM17" s="2"/>
      <c r="AN17" s="2"/>
    </row>
    <row r="18" spans="1:44" ht="18" customHeight="1" x14ac:dyDescent="0.35">
      <c r="A18" s="262"/>
      <c r="B18" s="99"/>
      <c r="C18" s="263" t="str">
        <f>IFERROR(VLOOKUP('2b Enter data - Actual weight'!B18,'Lists - Hidden'!$C$34:$D$58,2,FALSE),"")</f>
        <v/>
      </c>
      <c r="D18" s="318" t="str">
        <f>IFERROR(VLOOKUP(B18,'Lists - Hidden'!$C$34:$E$58,3,FALSE),"")</f>
        <v/>
      </c>
      <c r="E18" s="326"/>
      <c r="F18" s="246"/>
      <c r="G18" s="185"/>
      <c r="H18" s="185"/>
      <c r="I18" s="185"/>
      <c r="J18" s="185"/>
      <c r="K18" s="185"/>
      <c r="L18" s="185"/>
      <c r="M18" s="185"/>
      <c r="N18" s="185"/>
      <c r="O18" s="185"/>
      <c r="P18" s="185"/>
      <c r="Q18" s="247"/>
      <c r="R18" s="336" t="str">
        <f>IF($E18='Lists - Hidden'!$E$16,SUM('2b Enter data - Actual weight'!F18:Q18),"")</f>
        <v/>
      </c>
      <c r="S18" s="325" t="str">
        <f>IFERROR(IF($E18='Lists - Hidden'!$E$17,SUM('2b Enter data - Actual weight'!F18:Q18),R18*'1 Review details'!$D$16),"")</f>
        <v/>
      </c>
      <c r="T18" s="204"/>
      <c r="U18" s="245"/>
      <c r="V18" s="245"/>
      <c r="W18" s="245"/>
      <c r="X18" s="245"/>
      <c r="Y18" s="245"/>
      <c r="Z18" s="245"/>
      <c r="AA18" s="245"/>
      <c r="AB18" s="245"/>
      <c r="AC18" s="245"/>
      <c r="AD18" s="245"/>
      <c r="AE18" s="248"/>
      <c r="AF18" s="278">
        <f t="shared" si="0"/>
        <v>0</v>
      </c>
      <c r="AG18" s="278">
        <f t="shared" si="1"/>
        <v>0</v>
      </c>
      <c r="AH18" s="341" t="str">
        <f>IF($E18='Lists - Hidden'!$E$16,SUM('2b Enter data - Actual weight'!T18:AE18),"")</f>
        <v/>
      </c>
      <c r="AI18" s="339" t="str">
        <f>IFERROR(IF($E18='Lists - Hidden'!$E$17,SUM('2b Enter data - Actual weight'!T18:AE18),SUM(T18:AE18)*'1 Review details'!$D$16),"")</f>
        <v/>
      </c>
      <c r="AJ18" s="2"/>
      <c r="AK18" s="2"/>
      <c r="AL18" s="2"/>
      <c r="AM18" s="2"/>
      <c r="AN18" s="2"/>
    </row>
    <row r="19" spans="1:44" ht="18" customHeight="1" x14ac:dyDescent="0.35">
      <c r="A19" s="262"/>
      <c r="B19" s="99"/>
      <c r="C19" s="263" t="str">
        <f>IFERROR(VLOOKUP('2b Enter data - Actual weight'!B19,'Lists - Hidden'!$C$34:$D$58,2,FALSE),"")</f>
        <v/>
      </c>
      <c r="D19" s="318" t="str">
        <f>IFERROR(VLOOKUP(B19,'Lists - Hidden'!$C$34:$E$58,3,FALSE),"")</f>
        <v/>
      </c>
      <c r="E19" s="326"/>
      <c r="F19" s="246"/>
      <c r="G19" s="185"/>
      <c r="H19" s="185"/>
      <c r="I19" s="185"/>
      <c r="J19" s="185"/>
      <c r="K19" s="185"/>
      <c r="L19" s="185"/>
      <c r="M19" s="185"/>
      <c r="N19" s="185"/>
      <c r="O19" s="185"/>
      <c r="P19" s="185"/>
      <c r="Q19" s="247"/>
      <c r="R19" s="336" t="str">
        <f>IF($E19='Lists - Hidden'!$E$16,SUM('2b Enter data - Actual weight'!F19:Q19),"")</f>
        <v/>
      </c>
      <c r="S19" s="325" t="str">
        <f>IFERROR(IF($E19='Lists - Hidden'!$E$17,SUM('2b Enter data - Actual weight'!F19:Q19),R19*'1 Review details'!$D$16),"")</f>
        <v/>
      </c>
      <c r="T19" s="204"/>
      <c r="U19" s="245"/>
      <c r="V19" s="245"/>
      <c r="W19" s="245"/>
      <c r="X19" s="245"/>
      <c r="Y19" s="245"/>
      <c r="Z19" s="245"/>
      <c r="AA19" s="245"/>
      <c r="AB19" s="245"/>
      <c r="AC19" s="245"/>
      <c r="AD19" s="245"/>
      <c r="AE19" s="248"/>
      <c r="AF19" s="278">
        <f t="shared" si="0"/>
        <v>0</v>
      </c>
      <c r="AG19" s="278">
        <f t="shared" si="1"/>
        <v>0</v>
      </c>
      <c r="AH19" s="341" t="str">
        <f>IF($E19='Lists - Hidden'!$E$16,SUM('2b Enter data - Actual weight'!T19:AE19),"")</f>
        <v/>
      </c>
      <c r="AI19" s="339" t="str">
        <f>IFERROR(IF($E19='Lists - Hidden'!$E$17,SUM('2b Enter data - Actual weight'!T19:AE19),SUM(T19:AE19)*'1 Review details'!$D$16),"")</f>
        <v/>
      </c>
      <c r="AJ19" s="2"/>
      <c r="AK19" s="2"/>
      <c r="AL19" s="2"/>
      <c r="AM19" s="2"/>
      <c r="AN19" s="2"/>
    </row>
    <row r="20" spans="1:44" ht="18" customHeight="1" x14ac:dyDescent="0.35">
      <c r="A20" s="262"/>
      <c r="B20" s="99"/>
      <c r="C20" s="263" t="str">
        <f>IFERROR(VLOOKUP('2b Enter data - Actual weight'!B20,'Lists - Hidden'!$C$34:$D$58,2,FALSE),"")</f>
        <v/>
      </c>
      <c r="D20" s="318" t="str">
        <f>IFERROR(VLOOKUP(B20,'Lists - Hidden'!$C$34:$E$58,3,FALSE),"")</f>
        <v/>
      </c>
      <c r="E20" s="326"/>
      <c r="F20" s="246"/>
      <c r="G20" s="185"/>
      <c r="H20" s="185"/>
      <c r="I20" s="185"/>
      <c r="J20" s="185"/>
      <c r="K20" s="185"/>
      <c r="L20" s="185"/>
      <c r="M20" s="185"/>
      <c r="N20" s="185"/>
      <c r="O20" s="185"/>
      <c r="P20" s="185"/>
      <c r="Q20" s="247"/>
      <c r="R20" s="336" t="str">
        <f>IF($E20='Lists - Hidden'!$E$16,SUM('2b Enter data - Actual weight'!F20:Q20),"")</f>
        <v/>
      </c>
      <c r="S20" s="325" t="str">
        <f>IFERROR(IF($E20='Lists - Hidden'!$E$17,SUM('2b Enter data - Actual weight'!F20:Q20),R20*'1 Review details'!$D$16),"")</f>
        <v/>
      </c>
      <c r="T20" s="204"/>
      <c r="U20" s="245"/>
      <c r="V20" s="245"/>
      <c r="W20" s="245"/>
      <c r="X20" s="245"/>
      <c r="Y20" s="245"/>
      <c r="Z20" s="245"/>
      <c r="AA20" s="245"/>
      <c r="AB20" s="245"/>
      <c r="AC20" s="245"/>
      <c r="AD20" s="245"/>
      <c r="AE20" s="248"/>
      <c r="AF20" s="278">
        <f t="shared" si="0"/>
        <v>0</v>
      </c>
      <c r="AG20" s="278">
        <f t="shared" si="1"/>
        <v>0</v>
      </c>
      <c r="AH20" s="341" t="str">
        <f>IF($E20='Lists - Hidden'!$E$16,SUM('2b Enter data - Actual weight'!T20:AE20),"")</f>
        <v/>
      </c>
      <c r="AI20" s="339" t="str">
        <f>IFERROR(IF($E20='Lists - Hidden'!$E$17,SUM('2b Enter data - Actual weight'!T20:AE20),SUM(T20:AE20)*'1 Review details'!$D$16),"")</f>
        <v/>
      </c>
      <c r="AJ20" s="2"/>
      <c r="AK20" s="2"/>
      <c r="AL20" s="2"/>
      <c r="AM20" s="2"/>
      <c r="AN20" s="2"/>
    </row>
    <row r="21" spans="1:44" ht="18" customHeight="1" x14ac:dyDescent="0.35">
      <c r="A21" s="262"/>
      <c r="B21" s="99"/>
      <c r="C21" s="263" t="str">
        <f>IFERROR(VLOOKUP('2b Enter data - Actual weight'!B21,'Lists - Hidden'!$C$34:$D$58,2,FALSE),"")</f>
        <v/>
      </c>
      <c r="D21" s="318" t="str">
        <f>IFERROR(VLOOKUP(B21,'Lists - Hidden'!$C$34:$E$58,3,FALSE),"")</f>
        <v/>
      </c>
      <c r="E21" s="326"/>
      <c r="F21" s="246"/>
      <c r="G21" s="185"/>
      <c r="H21" s="185"/>
      <c r="I21" s="185"/>
      <c r="J21" s="185"/>
      <c r="K21" s="185"/>
      <c r="L21" s="185"/>
      <c r="M21" s="185"/>
      <c r="N21" s="185"/>
      <c r="O21" s="185"/>
      <c r="P21" s="185"/>
      <c r="Q21" s="247"/>
      <c r="R21" s="336" t="str">
        <f>IF($E21='Lists - Hidden'!$E$16,SUM('2b Enter data - Actual weight'!F21:Q21),"")</f>
        <v/>
      </c>
      <c r="S21" s="325" t="str">
        <f>IFERROR(IF($E21='Lists - Hidden'!$E$17,SUM('2b Enter data - Actual weight'!F21:Q21),R21*'1 Review details'!$D$16),"")</f>
        <v/>
      </c>
      <c r="T21" s="204"/>
      <c r="U21" s="245"/>
      <c r="V21" s="245"/>
      <c r="W21" s="245"/>
      <c r="X21" s="245"/>
      <c r="Y21" s="245"/>
      <c r="Z21" s="245"/>
      <c r="AA21" s="245"/>
      <c r="AB21" s="245"/>
      <c r="AC21" s="245"/>
      <c r="AD21" s="245"/>
      <c r="AE21" s="248"/>
      <c r="AF21" s="278">
        <f t="shared" si="0"/>
        <v>0</v>
      </c>
      <c r="AG21" s="278">
        <f t="shared" si="1"/>
        <v>0</v>
      </c>
      <c r="AH21" s="341" t="str">
        <f>IF($E21='Lists - Hidden'!$E$16,SUM('2b Enter data - Actual weight'!T21:AE21),"")</f>
        <v/>
      </c>
      <c r="AI21" s="339" t="str">
        <f>IFERROR(IF($E21='Lists - Hidden'!$E$17,SUM('2b Enter data - Actual weight'!T21:AE21),SUM(T21:AE21)*'1 Review details'!$D$16),"")</f>
        <v/>
      </c>
      <c r="AJ21" s="2"/>
      <c r="AK21" s="2"/>
      <c r="AL21" s="2"/>
      <c r="AM21" s="2"/>
      <c r="AN21" s="2"/>
    </row>
    <row r="22" spans="1:44" ht="18" customHeight="1" x14ac:dyDescent="0.35">
      <c r="A22" s="262"/>
      <c r="B22" s="99"/>
      <c r="C22" s="263" t="str">
        <f>IFERROR(VLOOKUP('2b Enter data - Actual weight'!B22,'Lists - Hidden'!$C$34:$D$58,2,FALSE),"")</f>
        <v/>
      </c>
      <c r="D22" s="318" t="str">
        <f>IFERROR(VLOOKUP(B22,'Lists - Hidden'!$C$34:$E$58,3,FALSE),"")</f>
        <v/>
      </c>
      <c r="E22" s="326"/>
      <c r="F22" s="246"/>
      <c r="G22" s="185"/>
      <c r="H22" s="185"/>
      <c r="I22" s="185"/>
      <c r="J22" s="185"/>
      <c r="K22" s="185"/>
      <c r="L22" s="185"/>
      <c r="M22" s="185"/>
      <c r="N22" s="185"/>
      <c r="O22" s="185"/>
      <c r="P22" s="185"/>
      <c r="Q22" s="247"/>
      <c r="R22" s="336" t="str">
        <f>IF($E22='Lists - Hidden'!$E$16,SUM('2b Enter data - Actual weight'!F22:Q22),"")</f>
        <v/>
      </c>
      <c r="S22" s="325" t="str">
        <f>IFERROR(IF($E22='Lists - Hidden'!$E$17,SUM('2b Enter data - Actual weight'!F22:Q22),R22*'1 Review details'!$D$16),"")</f>
        <v/>
      </c>
      <c r="T22" s="204"/>
      <c r="U22" s="245"/>
      <c r="V22" s="245"/>
      <c r="W22" s="245"/>
      <c r="X22" s="245"/>
      <c r="Y22" s="245"/>
      <c r="Z22" s="245"/>
      <c r="AA22" s="245"/>
      <c r="AB22" s="245"/>
      <c r="AC22" s="245"/>
      <c r="AD22" s="245"/>
      <c r="AE22" s="248"/>
      <c r="AF22" s="278">
        <f t="shared" ref="AF22:AF27" si="2">SUMIF($T22:$AE22,"&gt;0")</f>
        <v>0</v>
      </c>
      <c r="AG22" s="278">
        <f t="shared" ref="AG22:AG27" si="3">SUMIF($T22:$AE22,"&lt;0")</f>
        <v>0</v>
      </c>
      <c r="AH22" s="341" t="str">
        <f>IF($E22='Lists - Hidden'!$E$16,SUM('2b Enter data - Actual weight'!T22:AE22),"")</f>
        <v/>
      </c>
      <c r="AI22" s="339" t="str">
        <f>IFERROR(IF($E22='Lists - Hidden'!$E$17,SUM('2b Enter data - Actual weight'!T22:AE22),SUM(T22:AE22)*'1 Review details'!$D$16),"")</f>
        <v/>
      </c>
      <c r="AJ22" s="2"/>
      <c r="AK22" s="2"/>
      <c r="AL22" s="2"/>
      <c r="AM22" s="2"/>
      <c r="AN22" s="2"/>
    </row>
    <row r="23" spans="1:44" ht="18" customHeight="1" x14ac:dyDescent="0.35">
      <c r="A23" s="262"/>
      <c r="B23" s="99"/>
      <c r="C23" s="263" t="str">
        <f>IFERROR(VLOOKUP('2b Enter data - Actual weight'!B23,'Lists - Hidden'!$C$34:$D$58,2,FALSE),"")</f>
        <v/>
      </c>
      <c r="D23" s="318" t="str">
        <f>IFERROR(VLOOKUP(B23,'Lists - Hidden'!$C$34:$E$58,3,FALSE),"")</f>
        <v/>
      </c>
      <c r="E23" s="326"/>
      <c r="F23" s="246"/>
      <c r="G23" s="185"/>
      <c r="H23" s="185"/>
      <c r="I23" s="185"/>
      <c r="J23" s="185"/>
      <c r="K23" s="185"/>
      <c r="L23" s="185"/>
      <c r="M23" s="185"/>
      <c r="N23" s="185"/>
      <c r="O23" s="185"/>
      <c r="P23" s="185"/>
      <c r="Q23" s="247"/>
      <c r="R23" s="336" t="str">
        <f>IF($E23='Lists - Hidden'!$E$16,SUM('2b Enter data - Actual weight'!F23:Q23),"")</f>
        <v/>
      </c>
      <c r="S23" s="325" t="str">
        <f>IFERROR(IF($E23='Lists - Hidden'!$E$17,SUM('2b Enter data - Actual weight'!F23:Q23),R23*'1 Review details'!$D$16),"")</f>
        <v/>
      </c>
      <c r="T23" s="204"/>
      <c r="U23" s="245"/>
      <c r="V23" s="245"/>
      <c r="W23" s="245"/>
      <c r="X23" s="245"/>
      <c r="Y23" s="245"/>
      <c r="Z23" s="245"/>
      <c r="AA23" s="245"/>
      <c r="AB23" s="245"/>
      <c r="AC23" s="245"/>
      <c r="AD23" s="245"/>
      <c r="AE23" s="248"/>
      <c r="AF23" s="278">
        <f t="shared" si="2"/>
        <v>0</v>
      </c>
      <c r="AG23" s="278">
        <f t="shared" si="3"/>
        <v>0</v>
      </c>
      <c r="AH23" s="341" t="str">
        <f>IF($E23='Lists - Hidden'!$E$16,SUM('2b Enter data - Actual weight'!T23:AE23),"")</f>
        <v/>
      </c>
      <c r="AI23" s="339" t="str">
        <f>IFERROR(IF($E23='Lists - Hidden'!$E$17,SUM('2b Enter data - Actual weight'!T23:AE23),SUM(T23:AE23)*'1 Review details'!$D$16),"")</f>
        <v/>
      </c>
      <c r="AJ23" s="2"/>
      <c r="AK23" s="2"/>
      <c r="AL23" s="2"/>
      <c r="AM23" s="2"/>
      <c r="AN23" s="2"/>
    </row>
    <row r="24" spans="1:44" ht="18" customHeight="1" x14ac:dyDescent="0.35">
      <c r="A24" s="262"/>
      <c r="B24" s="99"/>
      <c r="C24" s="263" t="str">
        <f>IFERROR(VLOOKUP('2b Enter data - Actual weight'!B24,'Lists - Hidden'!$C$34:$D$58,2,FALSE),"")</f>
        <v/>
      </c>
      <c r="D24" s="318" t="str">
        <f>IFERROR(VLOOKUP(B24,'Lists - Hidden'!$C$34:$E$58,3,FALSE),"")</f>
        <v/>
      </c>
      <c r="E24" s="326"/>
      <c r="F24" s="246"/>
      <c r="G24" s="185"/>
      <c r="H24" s="185"/>
      <c r="I24" s="185"/>
      <c r="J24" s="185"/>
      <c r="K24" s="185"/>
      <c r="L24" s="185"/>
      <c r="M24" s="185"/>
      <c r="N24" s="185"/>
      <c r="O24" s="185"/>
      <c r="P24" s="185"/>
      <c r="Q24" s="247"/>
      <c r="R24" s="336" t="str">
        <f>IF($E24='Lists - Hidden'!$E$16,SUM('2b Enter data - Actual weight'!F24:Q24),"")</f>
        <v/>
      </c>
      <c r="S24" s="325" t="str">
        <f>IFERROR(IF($E24='Lists - Hidden'!$E$17,SUM('2b Enter data - Actual weight'!F24:Q24),R24*'1 Review details'!$D$16),"")</f>
        <v/>
      </c>
      <c r="T24" s="204"/>
      <c r="U24" s="245"/>
      <c r="V24" s="245"/>
      <c r="W24" s="245"/>
      <c r="X24" s="245"/>
      <c r="Y24" s="245"/>
      <c r="Z24" s="245"/>
      <c r="AA24" s="245"/>
      <c r="AB24" s="245"/>
      <c r="AC24" s="245"/>
      <c r="AD24" s="245"/>
      <c r="AE24" s="248"/>
      <c r="AF24" s="278">
        <f t="shared" si="2"/>
        <v>0</v>
      </c>
      <c r="AG24" s="278">
        <f t="shared" si="3"/>
        <v>0</v>
      </c>
      <c r="AH24" s="341" t="str">
        <f>IF($E24='Lists - Hidden'!$E$16,SUM('2b Enter data - Actual weight'!T24:AE24),"")</f>
        <v/>
      </c>
      <c r="AI24" s="339" t="str">
        <f>IFERROR(IF($E24='Lists - Hidden'!$E$17,SUM('2b Enter data - Actual weight'!T24:AE24),SUM(T24:AE24)*'1 Review details'!$D$16),"")</f>
        <v/>
      </c>
      <c r="AJ24" s="2"/>
      <c r="AK24" s="2"/>
      <c r="AL24" s="2"/>
      <c r="AM24" s="2"/>
      <c r="AN24" s="2"/>
    </row>
    <row r="25" spans="1:44" ht="18" customHeight="1" x14ac:dyDescent="0.35">
      <c r="A25" s="262"/>
      <c r="B25" s="99"/>
      <c r="C25" s="263" t="str">
        <f>IFERROR(VLOOKUP('2b Enter data - Actual weight'!B25,'Lists - Hidden'!$C$34:$D$58,2,FALSE),"")</f>
        <v/>
      </c>
      <c r="D25" s="318" t="str">
        <f>IFERROR(VLOOKUP(B25,'Lists - Hidden'!$C$34:$E$58,3,FALSE),"")</f>
        <v/>
      </c>
      <c r="E25" s="326"/>
      <c r="F25" s="246"/>
      <c r="G25" s="185"/>
      <c r="H25" s="185"/>
      <c r="I25" s="185"/>
      <c r="J25" s="185"/>
      <c r="K25" s="185"/>
      <c r="L25" s="185"/>
      <c r="M25" s="185"/>
      <c r="N25" s="185"/>
      <c r="O25" s="185"/>
      <c r="P25" s="185"/>
      <c r="Q25" s="247"/>
      <c r="R25" s="336" t="str">
        <f>IF($E25='Lists - Hidden'!$E$16,SUM('2b Enter data - Actual weight'!F25:Q25),"")</f>
        <v/>
      </c>
      <c r="S25" s="325" t="str">
        <f>IFERROR(IF($E25='Lists - Hidden'!$E$17,SUM('2b Enter data - Actual weight'!F25:Q25),R25*'1 Review details'!$D$16),"")</f>
        <v/>
      </c>
      <c r="T25" s="204"/>
      <c r="U25" s="245"/>
      <c r="V25" s="245"/>
      <c r="W25" s="245"/>
      <c r="X25" s="245"/>
      <c r="Y25" s="245"/>
      <c r="Z25" s="245"/>
      <c r="AA25" s="245"/>
      <c r="AB25" s="245"/>
      <c r="AC25" s="245"/>
      <c r="AD25" s="245"/>
      <c r="AE25" s="248"/>
      <c r="AF25" s="278">
        <f t="shared" si="2"/>
        <v>0</v>
      </c>
      <c r="AG25" s="278">
        <f t="shared" si="3"/>
        <v>0</v>
      </c>
      <c r="AH25" s="341" t="str">
        <f>IF($E25='Lists - Hidden'!$E$16,SUM('2b Enter data - Actual weight'!T25:AE25),"")</f>
        <v/>
      </c>
      <c r="AI25" s="339" t="str">
        <f>IFERROR(IF($E25='Lists - Hidden'!$E$17,SUM('2b Enter data - Actual weight'!T25:AE25),SUM(T25:AE25)*'1 Review details'!$D$16),"")</f>
        <v/>
      </c>
      <c r="AJ25" s="2"/>
      <c r="AK25" s="2"/>
      <c r="AL25" s="2"/>
      <c r="AM25" s="2"/>
      <c r="AN25" s="2"/>
    </row>
    <row r="26" spans="1:44" ht="18" customHeight="1" x14ac:dyDescent="0.35">
      <c r="A26" s="262"/>
      <c r="B26" s="99"/>
      <c r="C26" s="263" t="str">
        <f>IFERROR(VLOOKUP('2b Enter data - Actual weight'!B26,'Lists - Hidden'!$C$34:$D$58,2,FALSE),"")</f>
        <v/>
      </c>
      <c r="D26" s="318" t="str">
        <f>IFERROR(VLOOKUP(B26,'Lists - Hidden'!$C$34:$E$58,3,FALSE),"")</f>
        <v/>
      </c>
      <c r="E26" s="326"/>
      <c r="F26" s="246"/>
      <c r="G26" s="185"/>
      <c r="H26" s="185"/>
      <c r="I26" s="185"/>
      <c r="J26" s="185"/>
      <c r="K26" s="185"/>
      <c r="L26" s="185"/>
      <c r="M26" s="185"/>
      <c r="N26" s="185"/>
      <c r="O26" s="185"/>
      <c r="P26" s="185"/>
      <c r="Q26" s="247"/>
      <c r="R26" s="336" t="str">
        <f>IF($E26='Lists - Hidden'!$E$16,SUM('2b Enter data - Actual weight'!F26:Q26),"")</f>
        <v/>
      </c>
      <c r="S26" s="325" t="str">
        <f>IFERROR(IF($E26='Lists - Hidden'!$E$17,SUM('2b Enter data - Actual weight'!F26:Q26),R26*'1 Review details'!$D$16),"")</f>
        <v/>
      </c>
      <c r="T26" s="204"/>
      <c r="U26" s="245"/>
      <c r="V26" s="245"/>
      <c r="W26" s="245"/>
      <c r="X26" s="245"/>
      <c r="Y26" s="245"/>
      <c r="Z26" s="245"/>
      <c r="AA26" s="245"/>
      <c r="AB26" s="245"/>
      <c r="AC26" s="245"/>
      <c r="AD26" s="245"/>
      <c r="AE26" s="248"/>
      <c r="AF26" s="278">
        <f t="shared" si="2"/>
        <v>0</v>
      </c>
      <c r="AG26" s="278">
        <f t="shared" si="3"/>
        <v>0</v>
      </c>
      <c r="AH26" s="341" t="str">
        <f>IF($E26='Lists - Hidden'!$E$16,SUM('2b Enter data - Actual weight'!T26:AE26),"")</f>
        <v/>
      </c>
      <c r="AI26" s="339" t="str">
        <f>IFERROR(IF($E26='Lists - Hidden'!$E$17,SUM('2b Enter data - Actual weight'!T26:AE26),SUM(T26:AE26)*'1 Review details'!$D$16),"")</f>
        <v/>
      </c>
      <c r="AJ26" s="2"/>
      <c r="AK26" s="2"/>
      <c r="AL26" s="2"/>
      <c r="AM26" s="2"/>
      <c r="AN26" s="2"/>
    </row>
    <row r="27" spans="1:44" ht="18" customHeight="1" x14ac:dyDescent="0.35">
      <c r="A27" s="262"/>
      <c r="B27" s="99"/>
      <c r="C27" s="263" t="str">
        <f>IFERROR(VLOOKUP('2b Enter data - Actual weight'!B27,'Lists - Hidden'!$C$34:$D$58,2,FALSE),"")</f>
        <v/>
      </c>
      <c r="D27" s="318" t="str">
        <f>IFERROR(VLOOKUP(B27,'Lists - Hidden'!$C$34:$E$58,3,FALSE),"")</f>
        <v/>
      </c>
      <c r="E27" s="326"/>
      <c r="F27" s="246"/>
      <c r="G27" s="185"/>
      <c r="H27" s="185"/>
      <c r="I27" s="185"/>
      <c r="J27" s="185"/>
      <c r="K27" s="185"/>
      <c r="L27" s="185"/>
      <c r="M27" s="185"/>
      <c r="N27" s="185"/>
      <c r="O27" s="185"/>
      <c r="P27" s="185"/>
      <c r="Q27" s="247"/>
      <c r="R27" s="336" t="str">
        <f>IF($E27='Lists - Hidden'!$E$16,SUM('2b Enter data - Actual weight'!F27:Q27),"")</f>
        <v/>
      </c>
      <c r="S27" s="325" t="str">
        <f>IFERROR(IF($E27='Lists - Hidden'!$E$17,SUM('2b Enter data - Actual weight'!F27:Q27),R27*'1 Review details'!$D$16),"")</f>
        <v/>
      </c>
      <c r="T27" s="204"/>
      <c r="U27" s="245"/>
      <c r="V27" s="245"/>
      <c r="W27" s="245"/>
      <c r="X27" s="245"/>
      <c r="Y27" s="245"/>
      <c r="Z27" s="245"/>
      <c r="AA27" s="245"/>
      <c r="AB27" s="245"/>
      <c r="AC27" s="245"/>
      <c r="AD27" s="245"/>
      <c r="AE27" s="248"/>
      <c r="AF27" s="278">
        <f t="shared" si="2"/>
        <v>0</v>
      </c>
      <c r="AG27" s="278">
        <f t="shared" si="3"/>
        <v>0</v>
      </c>
      <c r="AH27" s="341" t="str">
        <f>IF($E27='Lists - Hidden'!$E$16,SUM('2b Enter data - Actual weight'!T27:AE27),"")</f>
        <v/>
      </c>
      <c r="AI27" s="339" t="str">
        <f>IFERROR(IF($E27='Lists - Hidden'!$E$17,SUM('2b Enter data - Actual weight'!T27:AE27),SUM(T27:AE27)*'1 Review details'!$D$16),"")</f>
        <v/>
      </c>
      <c r="AJ27" s="2"/>
      <c r="AK27" s="2"/>
      <c r="AL27" s="2"/>
      <c r="AM27" s="2"/>
      <c r="AN27" s="2"/>
    </row>
    <row r="28" spans="1:44" ht="19.399999999999999" customHeight="1" x14ac:dyDescent="0.35">
      <c r="A28" s="249"/>
      <c r="B28" s="264"/>
      <c r="C28" s="264"/>
      <c r="D28" s="264" t="s">
        <v>10</v>
      </c>
      <c r="E28" s="319"/>
      <c r="F28" s="274">
        <f t="shared" ref="F28:AE28" si="4">IFERROR(SUM(F8:F27),"")</f>
        <v>0</v>
      </c>
      <c r="G28" s="320">
        <f t="shared" si="4"/>
        <v>0</v>
      </c>
      <c r="H28" s="320">
        <f t="shared" si="4"/>
        <v>0</v>
      </c>
      <c r="I28" s="321">
        <f t="shared" si="4"/>
        <v>0</v>
      </c>
      <c r="J28" s="274">
        <f t="shared" si="4"/>
        <v>0</v>
      </c>
      <c r="K28" s="321">
        <f t="shared" si="4"/>
        <v>0</v>
      </c>
      <c r="L28" s="321">
        <f t="shared" si="4"/>
        <v>0</v>
      </c>
      <c r="M28" s="274">
        <f t="shared" si="4"/>
        <v>0</v>
      </c>
      <c r="N28" s="320">
        <f t="shared" si="4"/>
        <v>0</v>
      </c>
      <c r="O28" s="321">
        <f t="shared" si="4"/>
        <v>0</v>
      </c>
      <c r="P28" s="321">
        <f t="shared" si="4"/>
        <v>0</v>
      </c>
      <c r="Q28" s="275">
        <f t="shared" si="4"/>
        <v>0</v>
      </c>
      <c r="R28" s="337">
        <f t="shared" si="4"/>
        <v>0</v>
      </c>
      <c r="S28" s="274">
        <f t="shared" si="4"/>
        <v>0</v>
      </c>
      <c r="T28" s="322">
        <f t="shared" si="4"/>
        <v>0</v>
      </c>
      <c r="U28" s="323">
        <f t="shared" si="4"/>
        <v>0</v>
      </c>
      <c r="V28" s="323">
        <f t="shared" si="4"/>
        <v>0</v>
      </c>
      <c r="W28" s="323">
        <f t="shared" si="4"/>
        <v>0</v>
      </c>
      <c r="X28" s="323">
        <f t="shared" si="4"/>
        <v>0</v>
      </c>
      <c r="Y28" s="323">
        <f t="shared" si="4"/>
        <v>0</v>
      </c>
      <c r="Z28" s="323">
        <f t="shared" si="4"/>
        <v>0</v>
      </c>
      <c r="AA28" s="323">
        <f t="shared" si="4"/>
        <v>0</v>
      </c>
      <c r="AB28" s="323">
        <f t="shared" si="4"/>
        <v>0</v>
      </c>
      <c r="AC28" s="323">
        <f t="shared" si="4"/>
        <v>0</v>
      </c>
      <c r="AD28" s="323">
        <f t="shared" si="4"/>
        <v>0</v>
      </c>
      <c r="AE28" s="324">
        <f t="shared" si="4"/>
        <v>0</v>
      </c>
      <c r="AF28" s="279"/>
      <c r="AG28" s="279"/>
      <c r="AH28" s="342">
        <f>IFERROR(SUM(AH8:AH27),"")</f>
        <v>0</v>
      </c>
      <c r="AI28" s="340">
        <f>IFERROR(SUM(AI8:AI27),"")</f>
        <v>0</v>
      </c>
      <c r="AJ28" s="2"/>
    </row>
    <row r="29" spans="1:44" x14ac:dyDescent="0.35">
      <c r="A29" s="249"/>
      <c r="B29" s="265"/>
      <c r="C29" s="265"/>
      <c r="D29" s="265"/>
      <c r="E29" s="265"/>
      <c r="F29" s="265"/>
      <c r="G29" s="2"/>
      <c r="H29" s="2"/>
      <c r="I29" s="265"/>
      <c r="J29" s="265"/>
      <c r="K29" s="265"/>
      <c r="L29" s="265"/>
      <c r="M29" s="265"/>
      <c r="N29" s="265"/>
      <c r="O29" s="265"/>
      <c r="P29" s="265"/>
      <c r="Q29" s="265"/>
      <c r="R29" s="265"/>
      <c r="S29" s="265"/>
      <c r="T29" s="265"/>
      <c r="U29" s="265"/>
      <c r="V29" s="265"/>
      <c r="W29" s="2"/>
      <c r="X29" s="2"/>
      <c r="Y29" s="2"/>
      <c r="Z29" s="2"/>
      <c r="AA29" s="2"/>
      <c r="AB29" s="2"/>
      <c r="AC29" s="2"/>
      <c r="AD29" s="2"/>
      <c r="AE29" s="2"/>
      <c r="AF29" s="2"/>
      <c r="AG29" s="2"/>
      <c r="AH29" s="2"/>
      <c r="AI29" s="2"/>
      <c r="AJ29" s="2"/>
      <c r="AK29" s="2"/>
      <c r="AL29" s="2"/>
      <c r="AM29" s="2"/>
      <c r="AN29" s="2"/>
      <c r="AO29" s="2"/>
      <c r="AP29" s="2"/>
      <c r="AQ29" s="2"/>
    </row>
    <row r="30" spans="1:44" x14ac:dyDescent="0.35">
      <c r="A30" s="249"/>
      <c r="B30" s="249"/>
      <c r="C30" s="249"/>
      <c r="D30" s="249"/>
      <c r="E30" s="249"/>
      <c r="F30" s="249"/>
      <c r="G30" s="249"/>
      <c r="H30" s="249"/>
      <c r="I30" s="249"/>
      <c r="J30" s="249"/>
      <c r="K30" s="249"/>
      <c r="L30" s="249"/>
      <c r="M30" s="249"/>
      <c r="N30" s="249"/>
      <c r="O30" s="249"/>
      <c r="P30" s="249"/>
      <c r="Q30" s="249"/>
      <c r="R30" s="249"/>
      <c r="S30" s="249"/>
      <c r="T30" s="2"/>
      <c r="U30" s="2"/>
      <c r="V30" s="2"/>
      <c r="W30" s="2"/>
      <c r="X30" s="2"/>
      <c r="Y30" s="2"/>
      <c r="Z30" s="2"/>
      <c r="AA30" s="2"/>
      <c r="AB30" s="2"/>
      <c r="AC30" s="2"/>
      <c r="AD30" s="2"/>
      <c r="AE30" s="2"/>
      <c r="AF30" s="2"/>
      <c r="AG30" s="2"/>
      <c r="AH30" s="2"/>
      <c r="AI30" s="2"/>
      <c r="AJ30" s="2"/>
      <c r="AK30" s="2"/>
      <c r="AL30" s="2"/>
      <c r="AM30" s="2"/>
      <c r="AN30" s="2"/>
      <c r="AO30" s="2"/>
      <c r="AP30" s="2"/>
      <c r="AQ30" s="2"/>
      <c r="AR30" s="2"/>
    </row>
    <row r="31" spans="1:44" s="2" customFormat="1" hidden="1" x14ac:dyDescent="0.35">
      <c r="A31" s="249"/>
      <c r="B31" s="249"/>
      <c r="C31" s="249"/>
      <c r="D31" s="249"/>
      <c r="E31" s="249"/>
      <c r="F31" s="249"/>
      <c r="G31" s="249"/>
      <c r="H31" s="249"/>
      <c r="I31" s="249"/>
      <c r="J31" s="249"/>
      <c r="K31" s="249"/>
      <c r="L31" s="249"/>
      <c r="M31" s="249"/>
      <c r="N31" s="249"/>
      <c r="O31" s="249"/>
      <c r="P31" s="249"/>
      <c r="Q31" s="249"/>
      <c r="R31" s="249"/>
      <c r="S31" s="249"/>
    </row>
    <row r="32" spans="1:44" s="2" customFormat="1" hidden="1" x14ac:dyDescent="0.35">
      <c r="A32" s="249"/>
      <c r="B32" s="249"/>
      <c r="C32" s="249"/>
      <c r="D32" s="249"/>
      <c r="E32" s="249"/>
      <c r="F32" s="249"/>
      <c r="G32" s="249"/>
      <c r="H32" s="249"/>
      <c r="I32" s="249"/>
      <c r="J32" s="249"/>
      <c r="K32" s="249"/>
      <c r="L32" s="249"/>
      <c r="M32" s="249"/>
      <c r="N32" s="249"/>
      <c r="O32" s="249"/>
      <c r="P32" s="249"/>
      <c r="Q32" s="249"/>
      <c r="R32" s="249"/>
      <c r="S32" s="249"/>
    </row>
    <row r="33" spans="1:35" s="2" customFormat="1" hidden="1" x14ac:dyDescent="0.35">
      <c r="A33" s="249"/>
      <c r="B33" s="249"/>
      <c r="C33" s="249"/>
      <c r="D33" s="249"/>
      <c r="E33" s="249"/>
      <c r="F33" s="249"/>
      <c r="G33" s="249"/>
      <c r="H33" s="249"/>
      <c r="I33" s="249"/>
      <c r="J33" s="249"/>
      <c r="K33" s="249"/>
      <c r="L33" s="249"/>
      <c r="M33" s="249"/>
      <c r="N33" s="249"/>
      <c r="O33" s="249"/>
      <c r="P33" s="249"/>
      <c r="Q33" s="249"/>
      <c r="R33" s="249"/>
      <c r="S33" s="249"/>
    </row>
    <row r="34" spans="1:35" s="2" customFormat="1" hidden="1" x14ac:dyDescent="0.35">
      <c r="A34" s="249"/>
      <c r="B34" s="249"/>
      <c r="C34" s="249"/>
      <c r="D34" s="249"/>
      <c r="E34" s="249"/>
      <c r="F34" s="249"/>
      <c r="G34" s="249"/>
      <c r="H34" s="249"/>
      <c r="I34" s="249"/>
      <c r="J34" s="249"/>
      <c r="K34" s="249"/>
      <c r="L34" s="249"/>
      <c r="M34" s="249"/>
      <c r="N34" s="249"/>
      <c r="O34" s="249"/>
      <c r="P34" s="249"/>
      <c r="Q34" s="249"/>
      <c r="R34" s="249"/>
      <c r="S34" s="249"/>
    </row>
    <row r="35" spans="1:35" hidden="1" x14ac:dyDescent="0.35">
      <c r="W35" s="2"/>
      <c r="X35" s="2"/>
      <c r="Y35" s="2"/>
      <c r="Z35" s="2"/>
      <c r="AA35" s="2"/>
      <c r="AB35" s="2"/>
      <c r="AC35" s="2"/>
      <c r="AD35" s="2"/>
      <c r="AE35" s="2"/>
      <c r="AF35" s="2"/>
      <c r="AG35" s="2"/>
      <c r="AH35" s="2"/>
      <c r="AI35" s="2"/>
    </row>
  </sheetData>
  <sheetProtection algorithmName="SHA-512" hashValue="FRYQyalJt5JQP1Vh8jo3p/W2aY9XHW3q8CEgtamRgQMURIv4IUBZtynAb+sxN6Ua7NP5fbdA786pCL7Jg9qb/w==" saltValue="6XqnNLyqE7JUqRxdEs7fEg==" spinCount="100000" sheet="1" objects="1" scenarios="1" formatCells="0" formatColumns="0" formatRows="0"/>
  <mergeCells count="5">
    <mergeCell ref="B2:I2"/>
    <mergeCell ref="F7:Q7"/>
    <mergeCell ref="T5:AI5"/>
    <mergeCell ref="T7:AE7"/>
    <mergeCell ref="F5:S5"/>
  </mergeCells>
  <phoneticPr fontId="16" type="noConversion"/>
  <conditionalFormatting sqref="B8:B27">
    <cfRule type="notContainsBlanks" dxfId="27" priority="39">
      <formula>LEN(TRIM(B8))&gt;0</formula>
    </cfRule>
  </conditionalFormatting>
  <conditionalFormatting sqref="E8:Q27">
    <cfRule type="notContainsBlanks" dxfId="26" priority="6">
      <formula>LEN(TRIM(E8))&gt;0</formula>
    </cfRule>
  </conditionalFormatting>
  <conditionalFormatting sqref="R8:R27">
    <cfRule type="cellIs" dxfId="25" priority="2" operator="equal">
      <formula>0</formula>
    </cfRule>
  </conditionalFormatting>
  <conditionalFormatting sqref="S8:S27">
    <cfRule type="cellIs" dxfId="24" priority="1" operator="equal">
      <formula>0</formula>
    </cfRule>
  </conditionalFormatting>
  <conditionalFormatting sqref="T8:AG27">
    <cfRule type="notContainsBlanks" dxfId="23" priority="33">
      <formula>LEN(TRIM(T8))&gt;0</formula>
    </cfRule>
  </conditionalFormatting>
  <conditionalFormatting sqref="AH8:AH27">
    <cfRule type="cellIs" dxfId="22" priority="9" operator="equal">
      <formula>0</formula>
    </cfRule>
  </conditionalFormatting>
  <conditionalFormatting sqref="AI8:AI27">
    <cfRule type="cellIs" dxfId="21" priority="8" operator="equal">
      <formula>0</formula>
    </cfRule>
  </conditionalFormatting>
  <dataValidations count="3">
    <dataValidation operator="greaterThanOrEqual" allowBlank="1" showInputMessage="1" showErrorMessage="1" sqref="AF8:AG27" xr:uid="{CFEE457D-7545-4C21-B8BC-3F68F51848BA}"/>
    <dataValidation type="decimal" operator="greaterThan" allowBlank="1" showInputMessage="1" showErrorMessage="1" sqref="F8:Q27" xr:uid="{7010A8F9-FEB2-432A-BEC0-179E6300F28E}">
      <formula1>0</formula1>
    </dataValidation>
    <dataValidation type="decimal" allowBlank="1" showInputMessage="1" showErrorMessage="1" sqref="T8:AE27" xr:uid="{1341123E-FF2C-44C5-A7BD-1595FD252A76}">
      <formula1>-1000000</formula1>
      <formula2>1000000</formula2>
    </dataValidation>
  </dataValidations>
  <pageMargins left="0.7" right="0.7" top="0.75" bottom="0.75" header="0.3" footer="0.3"/>
  <pageSetup paperSize="9" scale="91" orientation="landscape" horizontalDpi="4294967295" verticalDpi="4294967295" r:id="rId1"/>
  <headerFooter>
    <oddHeader>&amp;C&amp;"Microsoft PhagsPa,Bold"Waste and Recycling Performance Calculator</oddHeader>
  </headerFooter>
  <rowBreaks count="1" manualBreakCount="1">
    <brk id="16" max="16383" man="1"/>
  </rowBreaks>
  <ignoredErrors>
    <ignoredError sqref="AF8:AG21 AF22:AG27"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9FBCC40A-37D1-49FF-9885-2B9FCFCF98E1}">
          <x14:formula1>
            <xm:f>'Lists - Hidden'!$B$63:$Z$63</xm:f>
          </x14:formula1>
          <xm:sqref>C8:C27</xm:sqref>
        </x14:dataValidation>
        <x14:dataValidation type="list" allowBlank="1" showInputMessage="1" showErrorMessage="1" xr:uid="{E0068645-E1DF-4EE6-A715-6FE285E304AE}">
          <x14:formula1>
            <xm:f>'Lists - Hidden'!$A$62:$Z$62</xm:f>
          </x14:formula1>
          <xm:sqref>B8:B27</xm:sqref>
        </x14:dataValidation>
        <x14:dataValidation type="list" allowBlank="1" showInputMessage="1" showErrorMessage="1" xr:uid="{D6960295-C54D-40DD-92BE-4639EA8E40EC}">
          <x14:formula1>
            <xm:f>'Lists - Hidden'!$E$16:$E$17</xm:f>
          </x14:formula1>
          <xm:sqref>E8:E27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autoPageBreaks="0"/>
  </sheetPr>
  <dimension ref="A1:K174"/>
  <sheetViews>
    <sheetView zoomScale="115" zoomScaleNormal="115" workbookViewId="0">
      <selection activeCell="E128" sqref="E128"/>
    </sheetView>
  </sheetViews>
  <sheetFormatPr defaultColWidth="0" defaultRowHeight="15" zeroHeight="1" x14ac:dyDescent="0.35"/>
  <cols>
    <col min="1" max="1" width="3" style="2" customWidth="1"/>
    <col min="2" max="2" width="3.453125" style="2" customWidth="1"/>
    <col min="3" max="3" width="63.1796875" style="2" customWidth="1"/>
    <col min="4" max="6" width="29.6328125" style="2" customWidth="1"/>
    <col min="7" max="7" width="5.6328125" style="2" customWidth="1"/>
    <col min="8" max="11" width="0" style="2" hidden="1" customWidth="1"/>
    <col min="12" max="16384" width="26.1796875" style="5" hidden="1"/>
  </cols>
  <sheetData>
    <row r="1" spans="3:6" ht="31" customHeight="1" x14ac:dyDescent="0.35">
      <c r="C1" s="250" t="s">
        <v>297</v>
      </c>
    </row>
    <row r="2" spans="3:6" x14ac:dyDescent="0.35">
      <c r="C2" s="20" t="s">
        <v>315</v>
      </c>
    </row>
    <row r="3" spans="3:6" x14ac:dyDescent="0.35">
      <c r="C3" s="20"/>
    </row>
    <row r="4" spans="3:6" ht="32.5" customHeight="1" x14ac:dyDescent="0.35">
      <c r="C4" s="25" t="s">
        <v>183</v>
      </c>
      <c r="D4" s="25"/>
      <c r="E4" s="25"/>
      <c r="F4" s="25"/>
    </row>
    <row r="5" spans="3:6" ht="95.15" customHeight="1" x14ac:dyDescent="0.35">
      <c r="C5" s="399" t="s">
        <v>184</v>
      </c>
      <c r="D5" s="399"/>
      <c r="E5" s="399"/>
      <c r="F5" s="399"/>
    </row>
    <row r="6" spans="3:6" ht="125.5" customHeight="1" x14ac:dyDescent="0.35">
      <c r="C6" s="399" t="s">
        <v>254</v>
      </c>
      <c r="D6" s="399"/>
      <c r="E6" s="399"/>
      <c r="F6" s="399"/>
    </row>
    <row r="7" spans="3:6" x14ac:dyDescent="0.35">
      <c r="C7" s="20"/>
    </row>
    <row r="8" spans="3:6" x14ac:dyDescent="0.35">
      <c r="C8" s="20"/>
    </row>
    <row r="9" spans="3:6" x14ac:dyDescent="0.35">
      <c r="C9" s="20"/>
    </row>
    <row r="10" spans="3:6" x14ac:dyDescent="0.35">
      <c r="C10" s="20"/>
    </row>
    <row r="11" spans="3:6" x14ac:dyDescent="0.35">
      <c r="C11" s="20"/>
    </row>
    <row r="12" spans="3:6" x14ac:dyDescent="0.35">
      <c r="C12" s="20"/>
    </row>
    <row r="13" spans="3:6" x14ac:dyDescent="0.35">
      <c r="C13" s="20"/>
    </row>
    <row r="14" spans="3:6" x14ac:dyDescent="0.35">
      <c r="C14" s="20"/>
    </row>
    <row r="15" spans="3:6" x14ac:dyDescent="0.35">
      <c r="C15" s="20"/>
    </row>
    <row r="16" spans="3:6" x14ac:dyDescent="0.35">
      <c r="C16" s="20"/>
    </row>
    <row r="17" spans="3:7" x14ac:dyDescent="0.35">
      <c r="C17" s="20"/>
    </row>
    <row r="18" spans="3:7" x14ac:dyDescent="0.35">
      <c r="C18" s="20"/>
    </row>
    <row r="19" spans="3:7" x14ac:dyDescent="0.35">
      <c r="C19" s="20"/>
    </row>
    <row r="20" spans="3:7" x14ac:dyDescent="0.35">
      <c r="C20" s="20"/>
    </row>
    <row r="21" spans="3:7" x14ac:dyDescent="0.35">
      <c r="C21" s="20"/>
    </row>
    <row r="22" spans="3:7" x14ac:dyDescent="0.35">
      <c r="C22" s="20"/>
      <c r="G22" s="13"/>
    </row>
    <row r="23" spans="3:7" x14ac:dyDescent="0.35">
      <c r="C23" s="20"/>
    </row>
    <row r="24" spans="3:7" x14ac:dyDescent="0.35">
      <c r="C24" s="20"/>
    </row>
    <row r="25" spans="3:7" x14ac:dyDescent="0.35">
      <c r="C25" s="20"/>
    </row>
    <row r="26" spans="3:7" x14ac:dyDescent="0.35">
      <c r="C26" s="20"/>
    </row>
    <row r="27" spans="3:7" x14ac:dyDescent="0.35">
      <c r="C27" s="84"/>
    </row>
    <row r="28" spans="3:7" x14ac:dyDescent="0.35">
      <c r="C28" s="20"/>
    </row>
    <row r="29" spans="3:7" x14ac:dyDescent="0.35">
      <c r="C29" s="88" t="s">
        <v>185</v>
      </c>
      <c r="D29" s="90" t="s">
        <v>186</v>
      </c>
    </row>
    <row r="30" spans="3:7" x14ac:dyDescent="0.35">
      <c r="C30" s="20"/>
    </row>
    <row r="31" spans="3:7" x14ac:dyDescent="0.35">
      <c r="C31" s="20"/>
    </row>
    <row r="32" spans="3:7" ht="32.5" customHeight="1" x14ac:dyDescent="0.35">
      <c r="C32" s="25" t="s">
        <v>146</v>
      </c>
      <c r="D32" s="25"/>
      <c r="E32" s="25"/>
      <c r="F32" s="25"/>
    </row>
    <row r="33" spans="2:7" ht="203" customHeight="1" x14ac:dyDescent="0.35">
      <c r="C33" s="399" t="s">
        <v>265</v>
      </c>
      <c r="D33" s="399"/>
      <c r="E33" s="399"/>
      <c r="F33" s="399"/>
      <c r="G33" s="20"/>
    </row>
    <row r="34" spans="2:7" ht="63" customHeight="1" x14ac:dyDescent="0.35">
      <c r="D34" s="68" t="s">
        <v>200</v>
      </c>
      <c r="E34" s="69" t="s">
        <v>199</v>
      </c>
      <c r="F34" s="68" t="s">
        <v>191</v>
      </c>
      <c r="G34" s="20"/>
    </row>
    <row r="35" spans="2:7" ht="20.149999999999999" customHeight="1" x14ac:dyDescent="0.35">
      <c r="C35" s="85" t="s">
        <v>1</v>
      </c>
      <c r="D35" s="86">
        <f>SUMIF('Summary - Hidden'!$C$57:$C$81,'3 Waste Report'!C35,'Summary - Hidden'!$D$57:$D$81)</f>
        <v>0</v>
      </c>
      <c r="E35" s="86" t="str">
        <f>IFERROR(D35/'1 Review details'!$D$13,"")</f>
        <v/>
      </c>
      <c r="F35" s="87" t="str">
        <f>IFERROR(D35/$D$39,"")</f>
        <v/>
      </c>
    </row>
    <row r="36" spans="2:7" ht="20.149999999999999" customHeight="1" x14ac:dyDescent="0.35">
      <c r="C36" s="70" t="s">
        <v>12</v>
      </c>
      <c r="D36" s="345">
        <f>SUMIF('Summary - Hidden'!$C$57:$C$81,'3 Waste Report'!C36,'Summary - Hidden'!$D$57:$D$81)</f>
        <v>0</v>
      </c>
      <c r="E36" s="345" t="str">
        <f>IFERROR(D36/'1 Review details'!$D$13,"")</f>
        <v/>
      </c>
      <c r="F36" s="83" t="str">
        <f>IFERROR(D36/$D$39,"")</f>
        <v/>
      </c>
    </row>
    <row r="37" spans="2:7" ht="20.149999999999999" customHeight="1" x14ac:dyDescent="0.35">
      <c r="C37" s="113" t="s">
        <v>54</v>
      </c>
      <c r="D37" s="346">
        <f>SUMIF('Summary - Hidden'!$C$57:$C$81,'3 Waste Report'!C37,'Summary - Hidden'!$D$57:$D$81)</f>
        <v>0</v>
      </c>
      <c r="E37" s="346" t="str">
        <f>IFERROR(D37/'1 Review details'!$D$13,"")</f>
        <v/>
      </c>
      <c r="F37" s="82" t="str">
        <f>IFERROR(D37/$D$39,"")</f>
        <v/>
      </c>
      <c r="G37" s="67"/>
    </row>
    <row r="38" spans="2:7" ht="20.149999999999999" customHeight="1" x14ac:dyDescent="0.35">
      <c r="C38" s="114" t="s">
        <v>11</v>
      </c>
      <c r="D38" s="347">
        <f>SUMIF('Summary - Hidden'!$C$57:$C$81,'3 Waste Report'!C38,'Summary - Hidden'!$D$57:$D$81)</f>
        <v>0</v>
      </c>
      <c r="E38" s="347" t="str">
        <f>IFERROR(D38/'1 Review details'!$D$13,"")</f>
        <v/>
      </c>
      <c r="F38" s="95" t="str">
        <f>IFERROR(D38/$D$39,"")</f>
        <v/>
      </c>
      <c r="G38" s="67"/>
    </row>
    <row r="39" spans="2:7" ht="18.649999999999999" customHeight="1" x14ac:dyDescent="0.4">
      <c r="C39" s="400" t="s">
        <v>316</v>
      </c>
      <c r="D39" s="348">
        <f>SUM(D35:D38)</f>
        <v>0</v>
      </c>
      <c r="E39" s="348">
        <f>SUM(E35:E38)</f>
        <v>0</v>
      </c>
      <c r="F39" s="89">
        <f>SUM(F35:F37)</f>
        <v>0</v>
      </c>
    </row>
    <row r="40" spans="2:7" ht="18.649999999999999" customHeight="1" x14ac:dyDescent="0.35">
      <c r="C40" s="400"/>
      <c r="D40" s="131" t="s">
        <v>192</v>
      </c>
      <c r="E40" s="132" t="s">
        <v>193</v>
      </c>
      <c r="F40" s="133" t="s">
        <v>180</v>
      </c>
    </row>
    <row r="41" spans="2:7" ht="27.5" customHeight="1" x14ac:dyDescent="0.35">
      <c r="C41" s="219" t="s">
        <v>266</v>
      </c>
      <c r="D41" s="216"/>
      <c r="E41" s="217"/>
      <c r="F41" s="218"/>
    </row>
    <row r="42" spans="2:7" ht="20.5" customHeight="1" x14ac:dyDescent="0.35">
      <c r="C42" s="344" t="s">
        <v>317</v>
      </c>
      <c r="D42" s="216"/>
      <c r="E42" s="217"/>
      <c r="F42" s="218"/>
    </row>
    <row r="43" spans="2:7" ht="17.5" customHeight="1" x14ac:dyDescent="0.35">
      <c r="B43" s="210"/>
      <c r="C43" s="213" t="s">
        <v>140</v>
      </c>
      <c r="D43" s="349">
        <f>IFERROR(VLOOKUP($C43,'Summary - Hidden'!$B$57:$H$81,3,FALSE),"")</f>
        <v>0</v>
      </c>
      <c r="E43" s="350" t="str">
        <f>IFERROR(D43/'1 Review details'!$D$13,"")</f>
        <v/>
      </c>
      <c r="F43" s="23"/>
    </row>
    <row r="44" spans="2:7" ht="17.5" customHeight="1" x14ac:dyDescent="0.35">
      <c r="B44" s="210"/>
      <c r="C44" s="213" t="s">
        <v>132</v>
      </c>
      <c r="D44" s="349">
        <f>IFERROR(VLOOKUP($C44,'Summary - Hidden'!$B$57:$H$81,3,FALSE),"")</f>
        <v>0</v>
      </c>
      <c r="E44" s="350" t="str">
        <f>IFERROR(D44/'1 Review details'!$D$13,"")</f>
        <v/>
      </c>
      <c r="F44" s="23"/>
    </row>
    <row r="45" spans="2:7" ht="17.5" customHeight="1" x14ac:dyDescent="0.35">
      <c r="B45" s="209"/>
      <c r="C45" s="214" t="s">
        <v>134</v>
      </c>
      <c r="D45" s="349">
        <f>IFERROR(VLOOKUP($C45,'Summary - Hidden'!$B$57:$H$81,3,FALSE),"")</f>
        <v>0</v>
      </c>
      <c r="E45" s="350" t="str">
        <f>IFERROR(D45/'1 Review details'!$D$13,"")</f>
        <v/>
      </c>
      <c r="F45" s="23"/>
    </row>
    <row r="46" spans="2:7" ht="17.5" customHeight="1" x14ac:dyDescent="0.35">
      <c r="B46" s="209"/>
      <c r="C46" s="214" t="s">
        <v>135</v>
      </c>
      <c r="D46" s="349">
        <f>IFERROR(VLOOKUP($C46,'Summary - Hidden'!$B$57:$H$81,3,FALSE),"")</f>
        <v>0</v>
      </c>
      <c r="E46" s="350" t="str">
        <f>IFERROR(D46/'1 Review details'!$D$13,"")</f>
        <v/>
      </c>
      <c r="F46" s="23"/>
    </row>
    <row r="47" spans="2:7" ht="17.5" customHeight="1" x14ac:dyDescent="0.35">
      <c r="B47" s="209"/>
      <c r="C47" s="214" t="s">
        <v>206</v>
      </c>
      <c r="D47" s="349">
        <f>IFERROR(VLOOKUP($C47,'Summary - Hidden'!$B$57:$H$81,3,FALSE),"")</f>
        <v>0</v>
      </c>
      <c r="E47" s="350" t="str">
        <f>IFERROR(D47/'1 Review details'!$D$13,"")</f>
        <v/>
      </c>
      <c r="F47" s="23"/>
    </row>
    <row r="48" spans="2:7" ht="17.5" customHeight="1" x14ac:dyDescent="0.35">
      <c r="B48" s="209"/>
      <c r="C48" s="214" t="s">
        <v>96</v>
      </c>
      <c r="D48" s="349">
        <f>IFERROR(VLOOKUP($C48,'Summary - Hidden'!$B$57:$H$81,3,FALSE),"")</f>
        <v>0</v>
      </c>
      <c r="E48" s="350" t="str">
        <f>IFERROR(D48/'1 Review details'!$D$13,"")</f>
        <v/>
      </c>
      <c r="F48" s="23"/>
    </row>
    <row r="49" spans="2:6" ht="17.5" customHeight="1" x14ac:dyDescent="0.35">
      <c r="B49" s="209"/>
      <c r="C49" s="214" t="s">
        <v>204</v>
      </c>
      <c r="D49" s="349">
        <f>IFERROR(VLOOKUP($C49,'Summary - Hidden'!$B$57:$H$81,3,FALSE),"")</f>
        <v>0</v>
      </c>
      <c r="E49" s="350" t="str">
        <f>IFERROR(D49/'1 Review details'!$D$13,"")</f>
        <v/>
      </c>
      <c r="F49" s="23"/>
    </row>
    <row r="50" spans="2:6" ht="17.5" customHeight="1" x14ac:dyDescent="0.35">
      <c r="B50" s="209"/>
      <c r="C50" s="214" t="s">
        <v>139</v>
      </c>
      <c r="D50" s="349">
        <f>IFERROR(VLOOKUP($C50,'Summary - Hidden'!$B$57:$H$81,3,FALSE),"")</f>
        <v>0</v>
      </c>
      <c r="E50" s="350" t="str">
        <f>IFERROR(D50/'1 Review details'!$D$13,"")</f>
        <v/>
      </c>
      <c r="F50" s="23"/>
    </row>
    <row r="51" spans="2:6" ht="17.5" customHeight="1" x14ac:dyDescent="0.35">
      <c r="B51" s="209"/>
      <c r="C51" s="214" t="s">
        <v>136</v>
      </c>
      <c r="D51" s="349">
        <f>IFERROR(VLOOKUP($C51,'Summary - Hidden'!$B$57:$H$81,3,FALSE),"")</f>
        <v>0</v>
      </c>
      <c r="E51" s="350" t="str">
        <f>IFERROR(D51/'1 Review details'!$D$13,"")</f>
        <v/>
      </c>
      <c r="F51" s="23"/>
    </row>
    <row r="52" spans="2:6" ht="17.5" customHeight="1" x14ac:dyDescent="0.35">
      <c r="B52" s="209"/>
      <c r="C52" s="214" t="s">
        <v>201</v>
      </c>
      <c r="D52" s="349">
        <f>IFERROR(VLOOKUP($C52,'Summary - Hidden'!$B$57:$H$81,3,FALSE),"")</f>
        <v>0</v>
      </c>
      <c r="E52" s="350" t="str">
        <f>IFERROR(D52/'1 Review details'!$D$13,"")</f>
        <v/>
      </c>
      <c r="F52" s="23"/>
    </row>
    <row r="53" spans="2:6" ht="17.5" customHeight="1" x14ac:dyDescent="0.35">
      <c r="B53" s="209"/>
      <c r="C53" s="214" t="s">
        <v>207</v>
      </c>
      <c r="D53" s="349">
        <f>IFERROR(VLOOKUP($C53,'Summary - Hidden'!$B$57:$H$81,3,FALSE),"")</f>
        <v>0</v>
      </c>
      <c r="E53" s="350" t="str">
        <f>IFERROR(D53/'1 Review details'!$D$13,"")</f>
        <v/>
      </c>
      <c r="F53" s="23"/>
    </row>
    <row r="54" spans="2:6" ht="17.5" customHeight="1" x14ac:dyDescent="0.35">
      <c r="B54" s="209"/>
      <c r="C54" s="214" t="s">
        <v>167</v>
      </c>
      <c r="D54" s="349">
        <f>IFERROR(VLOOKUP($C54,'Summary - Hidden'!$B$57:$H$81,3,FALSE),"")</f>
        <v>0</v>
      </c>
      <c r="E54" s="350" t="str">
        <f>IFERROR(D54/'1 Review details'!$D$13,"")</f>
        <v/>
      </c>
      <c r="F54" s="23"/>
    </row>
    <row r="55" spans="2:6" ht="17.5" customHeight="1" x14ac:dyDescent="0.35">
      <c r="B55" s="209"/>
      <c r="C55" s="214" t="s">
        <v>138</v>
      </c>
      <c r="D55" s="349">
        <f>IFERROR(VLOOKUP($C55,'Summary - Hidden'!$B$57:$H$81,3,FALSE),"")</f>
        <v>0</v>
      </c>
      <c r="E55" s="350" t="str">
        <f>IFERROR(D55/'1 Review details'!$D$13,"")</f>
        <v/>
      </c>
      <c r="F55" s="23"/>
    </row>
    <row r="56" spans="2:6" ht="17.5" customHeight="1" x14ac:dyDescent="0.35">
      <c r="B56" s="209"/>
      <c r="C56" s="214" t="s">
        <v>144</v>
      </c>
      <c r="D56" s="349">
        <f>IFERROR(VLOOKUP($C56,'Summary - Hidden'!$B$57:$H$81,3,FALSE),"")</f>
        <v>0</v>
      </c>
      <c r="E56" s="350" t="str">
        <f>IFERROR(D56/'1 Review details'!$D$13,"")</f>
        <v/>
      </c>
      <c r="F56" s="23"/>
    </row>
    <row r="57" spans="2:6" ht="17.5" customHeight="1" x14ac:dyDescent="0.35">
      <c r="B57" s="211"/>
      <c r="C57" s="214" t="s">
        <v>153</v>
      </c>
      <c r="D57" s="349">
        <f>IFERROR(VLOOKUP($C57,'Summary - Hidden'!$B$57:$H$81,3,FALSE),"")</f>
        <v>0</v>
      </c>
      <c r="E57" s="350" t="str">
        <f>IFERROR(D57/'1 Review details'!$D$13,"")</f>
        <v/>
      </c>
      <c r="F57" s="23"/>
    </row>
    <row r="58" spans="2:6" ht="17.5" customHeight="1" x14ac:dyDescent="0.35">
      <c r="B58" s="211"/>
      <c r="C58" s="214" t="s">
        <v>130</v>
      </c>
      <c r="D58" s="349">
        <f>IFERROR(VLOOKUP($C58,'Summary - Hidden'!$B$57:$H$81,3,FALSE),"")</f>
        <v>0</v>
      </c>
      <c r="E58" s="350" t="str">
        <f>IFERROR(D58/'1 Review details'!$D$13,"")</f>
        <v/>
      </c>
      <c r="F58" s="23"/>
    </row>
    <row r="59" spans="2:6" ht="17.5" customHeight="1" x14ac:dyDescent="0.35">
      <c r="B59" s="211"/>
      <c r="C59" s="214" t="s">
        <v>133</v>
      </c>
      <c r="D59" s="349">
        <f>IFERROR(VLOOKUP($C59,'Summary - Hidden'!$B$57:$H$81,3,FALSE),"")</f>
        <v>0</v>
      </c>
      <c r="E59" s="350" t="str">
        <f>IFERROR(D59/'1 Review details'!$D$13,"")</f>
        <v/>
      </c>
      <c r="F59" s="23"/>
    </row>
    <row r="60" spans="2:6" ht="17.5" customHeight="1" x14ac:dyDescent="0.35">
      <c r="B60" s="211"/>
      <c r="C60" s="214" t="s">
        <v>145</v>
      </c>
      <c r="D60" s="349">
        <f>IFERROR(VLOOKUP($C60,'Summary - Hidden'!$B$57:$H$81,3,FALSE),"")</f>
        <v>0</v>
      </c>
      <c r="E60" s="350" t="str">
        <f>IFERROR(D60/'1 Review details'!$D$13,"")</f>
        <v/>
      </c>
      <c r="F60" s="23"/>
    </row>
    <row r="61" spans="2:6" ht="17.5" customHeight="1" x14ac:dyDescent="0.35">
      <c r="B61" s="212"/>
      <c r="C61" s="214" t="s">
        <v>127</v>
      </c>
      <c r="D61" s="349">
        <f>IFERROR(VLOOKUP($C61,'Summary - Hidden'!$B$57:$H$81,3,FALSE),"")</f>
        <v>0</v>
      </c>
      <c r="E61" s="350" t="str">
        <f>IFERROR(D61/'1 Review details'!$D$13,"")</f>
        <v/>
      </c>
      <c r="F61" s="23"/>
    </row>
    <row r="62" spans="2:6" ht="17.5" customHeight="1" x14ac:dyDescent="0.35">
      <c r="B62" s="212"/>
      <c r="C62" s="214" t="s">
        <v>141</v>
      </c>
      <c r="D62" s="349">
        <f>IFERROR(VLOOKUP($C62,'Summary - Hidden'!$B$57:$H$81,3,FALSE),"")</f>
        <v>0</v>
      </c>
      <c r="E62" s="350" t="str">
        <f>IFERROR(D62/'1 Review details'!$D$13,"")</f>
        <v/>
      </c>
      <c r="F62" s="23"/>
    </row>
    <row r="63" spans="2:6" ht="17.5" customHeight="1" x14ac:dyDescent="0.35">
      <c r="B63" s="208"/>
      <c r="C63" s="215" t="str">
        <f>'2a Enter data - Est. Volumes'!B34</f>
        <v>Enter custom waste/recycling stream</v>
      </c>
      <c r="D63" s="349">
        <f>IFERROR(VLOOKUP($C63,'Summary - Hidden'!$B$57:$H$81,3,FALSE),"")</f>
        <v>0</v>
      </c>
      <c r="E63" s="350" t="str">
        <f>IFERROR(D63/'1 Review details'!$D$13,"")</f>
        <v/>
      </c>
      <c r="F63" s="23"/>
    </row>
    <row r="64" spans="2:6" ht="17.5" customHeight="1" x14ac:dyDescent="0.35">
      <c r="B64" s="208"/>
      <c r="C64" s="215" t="str">
        <f>'2a Enter data - Est. Volumes'!B35</f>
        <v>Enter custom waste/recycling stream</v>
      </c>
      <c r="D64" s="349">
        <f>IFERROR(VLOOKUP($C64,'Summary - Hidden'!$B$57:$H$81,3,FALSE),"")</f>
        <v>0</v>
      </c>
      <c r="E64" s="350" t="str">
        <f>IFERROR(D64/'1 Review details'!$D$13,"")</f>
        <v/>
      </c>
      <c r="F64" s="23"/>
    </row>
    <row r="65" spans="2:6" ht="17.5" customHeight="1" x14ac:dyDescent="0.35">
      <c r="B65" s="208"/>
      <c r="C65" s="215" t="str">
        <f>'2a Enter data - Est. Volumes'!B36</f>
        <v>Enter custom waste/recycling stream</v>
      </c>
      <c r="D65" s="349">
        <f>IFERROR(VLOOKUP($C65,'Summary - Hidden'!$B$57:$H$81,3,FALSE),"")</f>
        <v>0</v>
      </c>
      <c r="E65" s="350" t="str">
        <f>IFERROR(D65/'1 Review details'!$D$13,"")</f>
        <v/>
      </c>
      <c r="F65" s="23"/>
    </row>
    <row r="66" spans="2:6" ht="17.5" customHeight="1" x14ac:dyDescent="0.35">
      <c r="B66" s="208"/>
      <c r="C66" s="215" t="str">
        <f>'2a Enter data - Est. Volumes'!B37</f>
        <v>Enter custom waste/recycling stream</v>
      </c>
      <c r="D66" s="349">
        <f>IFERROR(VLOOKUP($C66,'Summary - Hidden'!$B$57:$H$81,3,FALSE),"")</f>
        <v>0</v>
      </c>
      <c r="E66" s="350" t="str">
        <f>IFERROR(D66/'1 Review details'!$D$13,"")</f>
        <v/>
      </c>
      <c r="F66" s="23"/>
    </row>
    <row r="67" spans="2:6" ht="17.5" customHeight="1" x14ac:dyDescent="0.35">
      <c r="B67" s="208"/>
      <c r="C67" s="215" t="str">
        <f>'2a Enter data - Est. Volumes'!B38</f>
        <v>Enter custom waste/recycling stream</v>
      </c>
      <c r="D67" s="349">
        <f>IFERROR(VLOOKUP($C67,'Summary - Hidden'!$B$57:$H$81,3,FALSE),"")</f>
        <v>0</v>
      </c>
      <c r="E67" s="350" t="str">
        <f>IFERROR(D67/'1 Review details'!$D$13,"")</f>
        <v/>
      </c>
      <c r="F67" s="23"/>
    </row>
    <row r="68" spans="2:6" ht="16" x14ac:dyDescent="0.35">
      <c r="C68" s="22"/>
      <c r="D68" s="23"/>
      <c r="F68" s="23"/>
    </row>
    <row r="69" spans="2:6" ht="16" x14ac:dyDescent="0.35">
      <c r="C69" s="22"/>
      <c r="D69" s="23"/>
    </row>
    <row r="70" spans="2:6" ht="16" x14ac:dyDescent="0.35">
      <c r="C70" s="22"/>
      <c r="D70" s="23"/>
    </row>
    <row r="71" spans="2:6" x14ac:dyDescent="0.35">
      <c r="C71" s="7"/>
      <c r="D71" s="7"/>
      <c r="E71" s="7"/>
    </row>
    <row r="72" spans="2:6" ht="16" x14ac:dyDescent="0.35">
      <c r="C72" s="22"/>
      <c r="D72" s="23"/>
    </row>
    <row r="73" spans="2:6" ht="16" x14ac:dyDescent="0.35">
      <c r="C73" s="22"/>
      <c r="D73" s="23"/>
    </row>
    <row r="74" spans="2:6" ht="16" x14ac:dyDescent="0.35">
      <c r="C74" s="22"/>
      <c r="D74" s="23"/>
    </row>
    <row r="75" spans="2:6" ht="16" x14ac:dyDescent="0.35">
      <c r="C75" s="22"/>
      <c r="D75" s="23"/>
    </row>
    <row r="76" spans="2:6" ht="16" x14ac:dyDescent="0.35">
      <c r="C76" s="22"/>
      <c r="D76" s="23"/>
    </row>
    <row r="77" spans="2:6" ht="16" x14ac:dyDescent="0.35">
      <c r="C77" s="22"/>
      <c r="D77" s="23"/>
    </row>
    <row r="78" spans="2:6" ht="16" x14ac:dyDescent="0.35">
      <c r="C78" s="22"/>
      <c r="D78" s="23"/>
    </row>
    <row r="79" spans="2:6" ht="16" x14ac:dyDescent="0.35">
      <c r="C79" s="22"/>
      <c r="D79" s="23"/>
    </row>
    <row r="80" spans="2:6" ht="16" x14ac:dyDescent="0.35">
      <c r="C80" s="22"/>
      <c r="D80" s="23"/>
    </row>
    <row r="81" spans="3:6" ht="16" x14ac:dyDescent="0.35">
      <c r="C81" s="22"/>
      <c r="D81" s="23"/>
    </row>
    <row r="82" spans="3:6" ht="16" x14ac:dyDescent="0.35">
      <c r="C82" s="22"/>
      <c r="D82" s="23"/>
    </row>
    <row r="83" spans="3:6" ht="16" x14ac:dyDescent="0.35">
      <c r="C83" s="22"/>
      <c r="D83" s="23"/>
    </row>
    <row r="84" spans="3:6" ht="16" x14ac:dyDescent="0.35">
      <c r="C84" s="22"/>
      <c r="D84" s="23"/>
    </row>
    <row r="85" spans="3:6" ht="16" x14ac:dyDescent="0.35">
      <c r="C85" s="22"/>
      <c r="D85" s="23"/>
    </row>
    <row r="86" spans="3:6" ht="16" x14ac:dyDescent="0.35">
      <c r="C86" s="22"/>
      <c r="D86" s="23"/>
    </row>
    <row r="87" spans="3:6" ht="16" x14ac:dyDescent="0.35">
      <c r="C87" s="22"/>
      <c r="D87" s="23"/>
    </row>
    <row r="88" spans="3:6" ht="16" x14ac:dyDescent="0.35">
      <c r="C88" s="22"/>
      <c r="D88" s="23"/>
    </row>
    <row r="89" spans="3:6" ht="32.5" customHeight="1" x14ac:dyDescent="0.35">
      <c r="C89" s="25" t="s">
        <v>233</v>
      </c>
      <c r="D89" s="25"/>
      <c r="E89" s="25"/>
      <c r="F89" s="25"/>
    </row>
    <row r="90" spans="3:6" ht="86.5" customHeight="1" x14ac:dyDescent="0.35">
      <c r="C90" s="399" t="s">
        <v>255</v>
      </c>
      <c r="D90" s="399"/>
      <c r="E90" s="399"/>
      <c r="F90" s="399"/>
    </row>
    <row r="91" spans="3:6" ht="16" x14ac:dyDescent="0.35">
      <c r="C91" s="22"/>
      <c r="D91" s="23"/>
    </row>
    <row r="92" spans="3:6" ht="25.5" customHeight="1" x14ac:dyDescent="0.35">
      <c r="C92" s="111" t="s">
        <v>228</v>
      </c>
      <c r="D92" s="112" t="s">
        <v>227</v>
      </c>
    </row>
    <row r="93" spans="3:6" ht="18" customHeight="1" x14ac:dyDescent="0.35">
      <c r="C93" s="109" t="s">
        <v>134</v>
      </c>
      <c r="D93" s="129">
        <f>IF('Lists - Hidden'!K4=0,"Not Estimated",D45*'Lists - Hidden'!K4)</f>
        <v>0</v>
      </c>
    </row>
    <row r="94" spans="3:6" ht="18" customHeight="1" x14ac:dyDescent="0.35">
      <c r="C94" s="64" t="s">
        <v>135</v>
      </c>
      <c r="D94" s="129" t="str">
        <f>IF('Lists - Hidden'!K5=0,"Not Estimated",#REF!*'Lists - Hidden'!K5)</f>
        <v>Not Estimated</v>
      </c>
    </row>
    <row r="95" spans="3:6" ht="18" customHeight="1" x14ac:dyDescent="0.35">
      <c r="C95" s="64" t="s">
        <v>206</v>
      </c>
      <c r="D95" s="129">
        <f>IF('Lists - Hidden'!K6=0,"Not Estimated",D47*'Lists - Hidden'!K6)</f>
        <v>0</v>
      </c>
      <c r="F95" s="20"/>
    </row>
    <row r="96" spans="3:6" ht="18" customHeight="1" x14ac:dyDescent="0.35">
      <c r="C96" s="64" t="s">
        <v>96</v>
      </c>
      <c r="D96" s="129">
        <f>IF('Lists - Hidden'!K7=0,"Not Estimated",D48*'Lists - Hidden'!K7)</f>
        <v>0</v>
      </c>
    </row>
    <row r="97" spans="3:6" ht="18" customHeight="1" x14ac:dyDescent="0.35">
      <c r="C97" s="64" t="s">
        <v>204</v>
      </c>
      <c r="D97" s="129">
        <f>IF('Lists - Hidden'!K8=0,"Not Estimated",D49*'Lists - Hidden'!K8)</f>
        <v>0</v>
      </c>
    </row>
    <row r="98" spans="3:6" ht="18" customHeight="1" x14ac:dyDescent="0.35">
      <c r="C98" s="65" t="s">
        <v>139</v>
      </c>
      <c r="D98" s="129" t="str">
        <f>IF('Lists - Hidden'!K9=0,"Not Estimated",#REF!*'Lists - Hidden'!K9)</f>
        <v>Not Estimated</v>
      </c>
      <c r="E98" s="110" t="s">
        <v>229</v>
      </c>
      <c r="F98" s="22"/>
    </row>
    <row r="99" spans="3:6" ht="18" customHeight="1" x14ac:dyDescent="0.35">
      <c r="C99" s="64" t="s">
        <v>136</v>
      </c>
      <c r="D99" s="129" t="str">
        <f>IF('Lists - Hidden'!K10=0,"Not Estimated",#REF!*'Lists - Hidden'!K10)</f>
        <v>Not Estimated</v>
      </c>
    </row>
    <row r="100" spans="3:6" ht="18" customHeight="1" x14ac:dyDescent="0.35">
      <c r="C100" s="65" t="s">
        <v>201</v>
      </c>
      <c r="D100" s="129">
        <f>IF('Lists - Hidden'!K11=0,"Not Estimated",D52*'Lists - Hidden'!K11)</f>
        <v>0</v>
      </c>
    </row>
    <row r="101" spans="3:6" ht="18" customHeight="1" x14ac:dyDescent="0.35">
      <c r="C101" s="64" t="s">
        <v>207</v>
      </c>
      <c r="D101" s="129">
        <f>IF('Lists - Hidden'!K12=0,"Not Estimated",D53*'Lists - Hidden'!K12)</f>
        <v>0</v>
      </c>
    </row>
    <row r="102" spans="3:6" ht="18" customHeight="1" x14ac:dyDescent="0.35">
      <c r="C102" s="64" t="s">
        <v>167</v>
      </c>
      <c r="D102" s="129">
        <f>IF('Lists - Hidden'!K13=0,"Not Estimated",D54*'Lists - Hidden'!K13)</f>
        <v>0</v>
      </c>
      <c r="F102" s="130" t="str">
        <f>IFERROR("Planting "&amp;'Lists - Hidden'!P19&amp;" tree(s)","No data entered")</f>
        <v>Planting 0 tree(s)</v>
      </c>
    </row>
    <row r="103" spans="3:6" ht="18" customHeight="1" x14ac:dyDescent="0.35">
      <c r="C103" s="64" t="s">
        <v>138</v>
      </c>
      <c r="D103" s="129" t="str">
        <f>IF('Lists - Hidden'!K14=0,"Not Estimated",#REF!*'Lists - Hidden'!K14)</f>
        <v>Not Estimated</v>
      </c>
    </row>
    <row r="104" spans="3:6" ht="18" customHeight="1" x14ac:dyDescent="0.35">
      <c r="C104" s="64" t="s">
        <v>137</v>
      </c>
      <c r="D104" s="129">
        <f>IF('Lists - Hidden'!K15=0,"Not Estimated",D56*'Lists - Hidden'!K15)</f>
        <v>0</v>
      </c>
      <c r="F104" s="22" t="s">
        <v>230</v>
      </c>
    </row>
    <row r="105" spans="3:6" ht="22.5" customHeight="1" x14ac:dyDescent="0.4">
      <c r="C105" s="137" t="s">
        <v>10</v>
      </c>
      <c r="D105" s="136">
        <f>SUM(D93:D104)</f>
        <v>0</v>
      </c>
    </row>
    <row r="106" spans="3:6" ht="22.5" customHeight="1" x14ac:dyDescent="0.35">
      <c r="C106" s="108"/>
      <c r="D106" s="138" t="s">
        <v>235</v>
      </c>
      <c r="F106" s="130" t="str">
        <f>IFERROR("Taking "&amp;'Lists - Hidden'!P18&amp;" car(s) of the road","No data entered")</f>
        <v>Taking 0 car(s) of the road</v>
      </c>
    </row>
    <row r="107" spans="3:6" x14ac:dyDescent="0.35"/>
    <row r="108" spans="3:6" ht="52.5" customHeight="1" x14ac:dyDescent="0.35">
      <c r="C108" s="399" t="s">
        <v>247</v>
      </c>
      <c r="D108" s="399"/>
      <c r="E108" s="399"/>
      <c r="F108" s="399"/>
    </row>
    <row r="109" spans="3:6" ht="45" customHeight="1" x14ac:dyDescent="0.35">
      <c r="C109" s="399" t="s">
        <v>232</v>
      </c>
      <c r="D109" s="399"/>
      <c r="E109" s="399"/>
      <c r="F109" s="399"/>
    </row>
    <row r="110" spans="3:6" x14ac:dyDescent="0.35">
      <c r="D110" s="23"/>
    </row>
    <row r="111" spans="3:6" ht="32.5" customHeight="1" x14ac:dyDescent="0.35">
      <c r="C111" s="25" t="s">
        <v>126</v>
      </c>
      <c r="D111" s="25"/>
      <c r="E111" s="25"/>
      <c r="F111" s="25"/>
    </row>
    <row r="112" spans="3:6" ht="55" customHeight="1" x14ac:dyDescent="0.35">
      <c r="C112" s="399" t="s">
        <v>263</v>
      </c>
      <c r="D112" s="399"/>
      <c r="E112" s="399"/>
      <c r="F112" s="399"/>
    </row>
    <row r="113" spans="3:6" ht="20.149999999999999" customHeight="1" x14ac:dyDescent="0.35">
      <c r="C113" s="22"/>
      <c r="D113" s="21" t="s">
        <v>123</v>
      </c>
      <c r="E113" s="21" t="s">
        <v>210</v>
      </c>
    </row>
    <row r="114" spans="3:6" ht="18.649999999999999" customHeight="1" x14ac:dyDescent="0.35">
      <c r="C114" s="22"/>
      <c r="D114" s="79" t="s">
        <v>178</v>
      </c>
      <c r="E114" s="79" t="s">
        <v>178</v>
      </c>
    </row>
    <row r="115" spans="3:6" ht="18.649999999999999" customHeight="1" x14ac:dyDescent="0.35">
      <c r="C115" s="26" t="s">
        <v>194</v>
      </c>
      <c r="D115" s="125" t="str">
        <f>IF(OR('Summary - Hidden'!$E$60="Y",'Summary - Hidden'!$E$63="Y",'Summary - Hidden'!$E$67="Y"),"Yes","No")</f>
        <v>No</v>
      </c>
      <c r="E115" s="125" t="str">
        <f>IF(OR('Summary - Hidden'!$E$60="Y",'Summary - Hidden'!$E$63="Y",'Summary - Hidden'!$E$67="Y"),"Yes","No")</f>
        <v>No</v>
      </c>
    </row>
    <row r="116" spans="3:6" ht="18.649999999999999" customHeight="1" x14ac:dyDescent="0.35">
      <c r="C116" s="27" t="s">
        <v>209</v>
      </c>
      <c r="D116" s="125" t="str">
        <f>IF(OR('Summary - Hidden'!$E$57="Y",'Summary - Hidden'!$E$61="Y"),"Yes","No")</f>
        <v>No</v>
      </c>
      <c r="E116" s="125" t="str">
        <f>IF(OR('Summary - Hidden'!$E$57="Y",'Summary - Hidden'!$E$61="Y"),"Yes","No")</f>
        <v>No</v>
      </c>
      <c r="F116" s="80"/>
    </row>
    <row r="117" spans="3:6" ht="18.649999999999999" customHeight="1" x14ac:dyDescent="0.35">
      <c r="C117" s="27" t="s">
        <v>120</v>
      </c>
      <c r="D117" s="125" t="str">
        <f>IF('Summary - Hidden'!$E$71="Y","Yes","No")</f>
        <v>No</v>
      </c>
      <c r="E117" s="125" t="str">
        <f>IF('Summary - Hidden'!$E$71="Y","Yes","No")</f>
        <v>No</v>
      </c>
    </row>
    <row r="118" spans="3:6" ht="18.649999999999999" customHeight="1" x14ac:dyDescent="0.35">
      <c r="C118" s="27" t="s">
        <v>270</v>
      </c>
      <c r="D118" s="125" t="str">
        <f>IF(OR('Summary - Hidden'!$E$59="Y",'Summary - Hidden'!$E$62="Y",'Summary - Hidden'!$E$72="Y",'Summary - Hidden'!$E$73="Y"),"Yes","No")</f>
        <v>No</v>
      </c>
      <c r="E118" s="125" t="str">
        <f>IF(OR('Summary - Hidden'!$E$59="Y",'Summary - Hidden'!$E$62="Y",'Summary - Hidden'!$E$72="Y",'Summary - Hidden'!$E$73="Y"),"Yes","No")</f>
        <v>No</v>
      </c>
    </row>
    <row r="119" spans="3:6" ht="18.649999999999999" customHeight="1" x14ac:dyDescent="0.35">
      <c r="C119" s="27" t="s">
        <v>121</v>
      </c>
      <c r="D119" s="125" t="str">
        <f>IF('Summary - Hidden'!$E$74="Y","Yes","No")</f>
        <v>No</v>
      </c>
      <c r="E119" s="125" t="str">
        <f>IF('Summary - Hidden'!$E$74="Y","Yes","No")</f>
        <v>No</v>
      </c>
    </row>
    <row r="120" spans="3:6" ht="18.5" customHeight="1" x14ac:dyDescent="0.35">
      <c r="C120" s="27" t="s">
        <v>143</v>
      </c>
      <c r="D120" s="126" t="s">
        <v>181</v>
      </c>
      <c r="E120" s="125" t="str">
        <f>IF(OR('Summary - Hidden'!E75="Y",'Summary - Hidden'!E76="Y"),"Yes","No")</f>
        <v>No</v>
      </c>
    </row>
    <row r="121" spans="3:6" ht="18.649999999999999" customHeight="1" x14ac:dyDescent="0.35">
      <c r="C121" s="27" t="s">
        <v>262</v>
      </c>
      <c r="D121" s="126" t="s">
        <v>181</v>
      </c>
      <c r="E121" s="125" t="str">
        <f>IF(OR('Summary - Hidden'!E69="Y",'Summary - Hidden'!E70="Y"),"Yes","No")</f>
        <v>No</v>
      </c>
    </row>
    <row r="122" spans="3:6" ht="19.399999999999999" hidden="1" customHeight="1" x14ac:dyDescent="0.35">
      <c r="C122" s="31" t="s">
        <v>125</v>
      </c>
      <c r="D122" s="127">
        <f>COUNTIF(D115:D119,"Yes")</f>
        <v>0</v>
      </c>
      <c r="E122" s="127">
        <f>COUNTIF(E115:E121,"Yes")</f>
        <v>0</v>
      </c>
    </row>
    <row r="123" spans="3:6" ht="57.65" customHeight="1" x14ac:dyDescent="0.35">
      <c r="C123" s="28"/>
      <c r="D123" s="128" t="str">
        <f>IF(NOT(D122&lt;5), "Your office meets minimum waste and recycling system standards","Additional recycling streams are needed to meet the minimum standards")</f>
        <v>Additional recycling streams are needed to meet the minimum standards</v>
      </c>
      <c r="E123" s="128" t="str">
        <f>IF(NOT(E122&lt;7), "Your office meets better practice waste and recycling system standards","Additional recycling streams are needed to meet better practice standards")</f>
        <v>Additional recycling streams are needed to meet better practice standards</v>
      </c>
    </row>
    <row r="124" spans="3:6" x14ac:dyDescent="0.35">
      <c r="C124" s="24"/>
      <c r="D124" s="29"/>
      <c r="E124" s="30"/>
    </row>
    <row r="125" spans="3:6" ht="44.5" customHeight="1" x14ac:dyDescent="0.35">
      <c r="C125" s="401" t="s">
        <v>260</v>
      </c>
      <c r="D125" s="401"/>
      <c r="E125" s="401"/>
      <c r="F125" s="401"/>
    </row>
    <row r="126" spans="3:6" ht="35.5" customHeight="1" x14ac:dyDescent="0.35">
      <c r="C126" s="189"/>
      <c r="D126" s="195" t="s">
        <v>264</v>
      </c>
      <c r="E126" s="189"/>
      <c r="F126" s="189"/>
    </row>
    <row r="127" spans="3:6" x14ac:dyDescent="0.35">
      <c r="C127" s="189"/>
      <c r="D127" s="190" t="s">
        <v>259</v>
      </c>
      <c r="E127" s="189"/>
      <c r="F127" s="189"/>
    </row>
    <row r="128" spans="3:6" ht="18.649999999999999" customHeight="1" x14ac:dyDescent="0.35">
      <c r="C128" s="191" t="s">
        <v>122</v>
      </c>
      <c r="D128" s="194"/>
      <c r="E128" s="170"/>
      <c r="F128" s="156"/>
    </row>
    <row r="129" spans="1:11" ht="18.649999999999999" customHeight="1" x14ac:dyDescent="0.35">
      <c r="C129" s="191" t="s">
        <v>179</v>
      </c>
      <c r="D129" s="194"/>
      <c r="E129" s="170"/>
      <c r="F129" s="192"/>
    </row>
    <row r="130" spans="1:11" ht="18.649999999999999" customHeight="1" x14ac:dyDescent="0.35">
      <c r="C130" s="191" t="s">
        <v>124</v>
      </c>
      <c r="D130" s="194"/>
      <c r="E130" s="170"/>
      <c r="F130" s="192"/>
    </row>
    <row r="131" spans="1:11" ht="21" customHeight="1" x14ac:dyDescent="0.35">
      <c r="C131" s="193"/>
      <c r="D131" s="154"/>
      <c r="E131" s="170"/>
      <c r="F131" s="156"/>
    </row>
    <row r="132" spans="1:11" ht="32.5" customHeight="1" x14ac:dyDescent="0.35">
      <c r="C132" s="25" t="s">
        <v>182</v>
      </c>
      <c r="D132" s="25"/>
      <c r="E132" s="25"/>
      <c r="F132" s="25"/>
    </row>
    <row r="133" spans="1:11" ht="91.5" customHeight="1" x14ac:dyDescent="0.35">
      <c r="C133" s="399" t="s">
        <v>269</v>
      </c>
      <c r="D133" s="399"/>
      <c r="E133" s="399"/>
      <c r="F133" s="399"/>
    </row>
    <row r="134" spans="1:11" ht="16" customHeight="1" x14ac:dyDescent="0.35"/>
    <row r="135" spans="1:11" s="118" customFormat="1" ht="46" customHeight="1" x14ac:dyDescent="0.35">
      <c r="A135" s="115"/>
      <c r="B135" s="115"/>
      <c r="C135" s="116" t="s">
        <v>234</v>
      </c>
      <c r="D135" s="117" t="s">
        <v>213</v>
      </c>
      <c r="E135" s="117" t="s">
        <v>212</v>
      </c>
      <c r="F135" s="2"/>
      <c r="G135" s="2"/>
      <c r="H135" s="115"/>
      <c r="I135" s="115"/>
      <c r="J135" s="115"/>
      <c r="K135" s="115"/>
    </row>
    <row r="136" spans="1:11" s="118" customFormat="1" ht="20" customHeight="1" x14ac:dyDescent="0.35">
      <c r="A136" s="115"/>
      <c r="B136" s="115"/>
      <c r="C136" s="119" t="s">
        <v>46</v>
      </c>
      <c r="D136" s="199">
        <f>SUM(D137:D140)</f>
        <v>0</v>
      </c>
      <c r="E136" s="199">
        <f>SUM(E137:E140)</f>
        <v>0</v>
      </c>
      <c r="F136" s="2"/>
      <c r="G136" s="2"/>
      <c r="H136" s="115"/>
      <c r="I136" s="115"/>
      <c r="J136" s="115"/>
      <c r="K136" s="115"/>
    </row>
    <row r="137" spans="1:11" s="118" customFormat="1" ht="20" customHeight="1" x14ac:dyDescent="0.35">
      <c r="A137" s="115"/>
      <c r="B137" s="210"/>
      <c r="C137" s="120" t="s">
        <v>1</v>
      </c>
      <c r="D137" s="134">
        <f>IFERROR(SUMIF('Summary - Hidden'!$C$57:$C$81,'3 Waste Report'!$C137,'Summary - Hidden'!$F$57:$F$81),"")</f>
        <v>0</v>
      </c>
      <c r="E137" s="134">
        <f>IFERROR(SUMIF('Summary - Hidden'!$C$57:$C$81,'3 Waste Report'!$C137,'Summary - Hidden'!$H$57:$H$81),"")</f>
        <v>0</v>
      </c>
      <c r="F137" s="2"/>
      <c r="G137" s="2"/>
      <c r="H137" s="115"/>
      <c r="I137" s="115"/>
      <c r="J137" s="115"/>
      <c r="K137" s="115"/>
    </row>
    <row r="138" spans="1:11" s="118" customFormat="1" ht="20" customHeight="1" x14ac:dyDescent="0.35">
      <c r="A138" s="115"/>
      <c r="B138" s="209"/>
      <c r="C138" s="120" t="s">
        <v>12</v>
      </c>
      <c r="D138" s="134">
        <f>IFERROR(SUMIF('Summary - Hidden'!$C$57:$C$81,'3 Waste Report'!$C138,'Summary - Hidden'!$F$57:$F$81),"")</f>
        <v>0</v>
      </c>
      <c r="E138" s="134">
        <f>IFERROR(SUMIF('Summary - Hidden'!$C$57:$C$81,'3 Waste Report'!$C138,'Summary - Hidden'!$H$57:$H$81),"")</f>
        <v>0</v>
      </c>
      <c r="F138" s="200"/>
      <c r="G138" s="97"/>
      <c r="H138" s="121"/>
      <c r="I138" s="121"/>
      <c r="J138" s="115"/>
      <c r="K138" s="115"/>
    </row>
    <row r="139" spans="1:11" s="118" customFormat="1" ht="20" customHeight="1" x14ac:dyDescent="0.35">
      <c r="A139" s="115"/>
      <c r="B139" s="211"/>
      <c r="C139" s="120" t="s">
        <v>54</v>
      </c>
      <c r="D139" s="134">
        <f>IFERROR(SUMIF('Summary - Hidden'!$C$57:$C$81,'3 Waste Report'!$C139,'Summary - Hidden'!$F$57:$F$81),"")</f>
        <v>0</v>
      </c>
      <c r="E139" s="134">
        <f>IFERROR(SUMIF('Summary - Hidden'!$C$57:$C$81,'3 Waste Report'!$C139,'Summary - Hidden'!$H$57:$H$81),"")</f>
        <v>0</v>
      </c>
      <c r="F139" s="2"/>
      <c r="G139" s="2"/>
      <c r="H139" s="115"/>
      <c r="I139" s="115"/>
      <c r="J139" s="115"/>
      <c r="K139" s="115"/>
    </row>
    <row r="140" spans="1:11" s="118" customFormat="1" ht="20" customHeight="1" x14ac:dyDescent="0.35">
      <c r="A140" s="115"/>
      <c r="B140" s="212"/>
      <c r="C140" s="120" t="s">
        <v>11</v>
      </c>
      <c r="D140" s="134">
        <f>IFERROR(SUMIF('Summary - Hidden'!$C$57:$C$81,'3 Waste Report'!$C140,'Summary - Hidden'!$F$57:$F$81),"")</f>
        <v>0</v>
      </c>
      <c r="E140" s="134">
        <f>IFERROR(SUMIF('Summary - Hidden'!$C$57:$C$81,'3 Waste Report'!$C140,'Summary - Hidden'!$H$57:$H$81),"")</f>
        <v>0</v>
      </c>
      <c r="F140" s="2"/>
      <c r="G140" s="2"/>
      <c r="H140" s="115"/>
      <c r="I140" s="115"/>
      <c r="J140" s="115"/>
      <c r="K140" s="115"/>
    </row>
    <row r="141" spans="1:11" s="118" customFormat="1" ht="20" customHeight="1" x14ac:dyDescent="0.35">
      <c r="A141" s="115"/>
      <c r="B141" s="115"/>
      <c r="C141" s="119" t="s">
        <v>47</v>
      </c>
      <c r="D141" s="199">
        <f>SUM(D142:D145)</f>
        <v>0</v>
      </c>
      <c r="E141" s="199">
        <f>SUM(E142:E145)</f>
        <v>0</v>
      </c>
      <c r="F141" s="2"/>
      <c r="G141" s="2"/>
      <c r="H141" s="115"/>
      <c r="I141" s="115"/>
      <c r="J141" s="115"/>
      <c r="K141" s="115"/>
    </row>
    <row r="142" spans="1:11" s="118" customFormat="1" ht="20" customHeight="1" x14ac:dyDescent="0.35">
      <c r="A142" s="115"/>
      <c r="B142" s="210"/>
      <c r="C142" s="120" t="s">
        <v>1</v>
      </c>
      <c r="D142" s="134">
        <f>IFERROR(SUMIF('Summary - Hidden'!$C$57:$C$81,'3 Waste Report'!$C142,'Summary - Hidden'!$G$57:$G$81),"")</f>
        <v>0</v>
      </c>
      <c r="E142" s="134">
        <f>IFERROR(SUMIF('Summary - Hidden'!$C$57:$C$81,'3 Waste Report'!$C142,'Summary - Hidden'!$I$57:$I$81),"")</f>
        <v>0</v>
      </c>
      <c r="F142" s="2"/>
      <c r="G142" s="2"/>
      <c r="H142" s="115"/>
      <c r="I142" s="115"/>
      <c r="J142" s="115"/>
      <c r="K142" s="115"/>
    </row>
    <row r="143" spans="1:11" s="118" customFormat="1" ht="20" customHeight="1" x14ac:dyDescent="0.35">
      <c r="A143" s="115"/>
      <c r="B143" s="209"/>
      <c r="C143" s="120" t="s">
        <v>12</v>
      </c>
      <c r="D143" s="134">
        <f>IFERROR(SUMIF('Summary - Hidden'!$C$57:$C$81,'3 Waste Report'!$C143,'Summary - Hidden'!$G$57:$G$81),"")</f>
        <v>0</v>
      </c>
      <c r="E143" s="134">
        <f>IFERROR(SUMIF('Summary - Hidden'!$C$57:$C$81,'3 Waste Report'!$C143,'Summary - Hidden'!$I$57:$I$81),"")</f>
        <v>0</v>
      </c>
      <c r="F143" s="2"/>
      <c r="G143" s="2"/>
      <c r="H143" s="115"/>
      <c r="I143" s="115"/>
      <c r="J143" s="115"/>
      <c r="K143" s="115"/>
    </row>
    <row r="144" spans="1:11" s="118" customFormat="1" ht="20" customHeight="1" x14ac:dyDescent="0.35">
      <c r="A144" s="115"/>
      <c r="B144" s="211"/>
      <c r="C144" s="120" t="s">
        <v>54</v>
      </c>
      <c r="D144" s="134">
        <f>IFERROR(SUMIF('Summary - Hidden'!$C$57:$C$81,'3 Waste Report'!$C144,'Summary - Hidden'!$G$57:$G$81),"")</f>
        <v>0</v>
      </c>
      <c r="E144" s="134">
        <f>IFERROR(SUMIF('Summary - Hidden'!$C$57:$C$81,'3 Waste Report'!$C144,'Summary - Hidden'!$I$57:$I$81),"")</f>
        <v>0</v>
      </c>
      <c r="F144" s="2"/>
      <c r="G144" s="2"/>
      <c r="H144" s="115"/>
      <c r="I144" s="115"/>
      <c r="J144" s="115"/>
      <c r="K144" s="115"/>
    </row>
    <row r="145" spans="1:11" s="118" customFormat="1" ht="20" customHeight="1" x14ac:dyDescent="0.35">
      <c r="A145" s="115"/>
      <c r="B145" s="212"/>
      <c r="C145" s="120" t="s">
        <v>11</v>
      </c>
      <c r="D145" s="134">
        <f>IFERROR(SUMIF('Summary - Hidden'!$C$57:$C$81,'3 Waste Report'!$C145,'Summary - Hidden'!$G$57:$G$81),"")</f>
        <v>0</v>
      </c>
      <c r="E145" s="134">
        <f>IFERROR(SUMIF('Summary - Hidden'!$C$57:$C$81,'3 Waste Report'!$C145,'Summary - Hidden'!$I$57:$I$81),"")</f>
        <v>0</v>
      </c>
      <c r="F145" s="2"/>
      <c r="G145" s="2"/>
      <c r="H145" s="115"/>
      <c r="I145" s="115"/>
      <c r="J145" s="115"/>
      <c r="K145" s="115"/>
    </row>
    <row r="146" spans="1:11" s="118" customFormat="1" ht="20" customHeight="1" x14ac:dyDescent="0.35">
      <c r="A146" s="115"/>
      <c r="B146" s="115"/>
      <c r="C146" s="122" t="s">
        <v>48</v>
      </c>
      <c r="D146" s="123">
        <f>SUM(D147:D150)</f>
        <v>0</v>
      </c>
      <c r="E146" s="123">
        <f>IFERROR(SUM(E147:E150),"")</f>
        <v>0</v>
      </c>
      <c r="F146" s="2"/>
      <c r="G146" s="115"/>
      <c r="H146" s="115"/>
      <c r="I146" s="115"/>
      <c r="J146" s="115"/>
      <c r="K146" s="115"/>
    </row>
    <row r="147" spans="1:11" s="118" customFormat="1" ht="20" customHeight="1" x14ac:dyDescent="0.35">
      <c r="A147" s="115"/>
      <c r="B147" s="210"/>
      <c r="C147" s="120" t="s">
        <v>1</v>
      </c>
      <c r="D147" s="134">
        <f t="shared" ref="D147:E150" si="0">D137+D142</f>
        <v>0</v>
      </c>
      <c r="E147" s="134">
        <f t="shared" si="0"/>
        <v>0</v>
      </c>
      <c r="F147" s="2"/>
      <c r="G147" s="115"/>
      <c r="H147" s="115"/>
      <c r="I147" s="115"/>
      <c r="J147" s="115"/>
      <c r="K147" s="115"/>
    </row>
    <row r="148" spans="1:11" s="118" customFormat="1" ht="20" customHeight="1" x14ac:dyDescent="0.35">
      <c r="A148" s="115"/>
      <c r="B148" s="209"/>
      <c r="C148" s="120" t="s">
        <v>12</v>
      </c>
      <c r="D148" s="134">
        <f t="shared" si="0"/>
        <v>0</v>
      </c>
      <c r="E148" s="134">
        <f t="shared" si="0"/>
        <v>0</v>
      </c>
      <c r="F148" s="2"/>
      <c r="G148" s="115"/>
      <c r="H148" s="115"/>
      <c r="I148" s="115"/>
      <c r="J148" s="115"/>
      <c r="K148" s="115"/>
    </row>
    <row r="149" spans="1:11" s="118" customFormat="1" ht="20" customHeight="1" x14ac:dyDescent="0.35">
      <c r="A149" s="115"/>
      <c r="B149" s="211"/>
      <c r="C149" s="120" t="s">
        <v>54</v>
      </c>
      <c r="D149" s="134">
        <f t="shared" si="0"/>
        <v>0</v>
      </c>
      <c r="E149" s="134">
        <f t="shared" si="0"/>
        <v>0</v>
      </c>
      <c r="F149" s="2"/>
      <c r="G149" s="115"/>
      <c r="H149" s="115"/>
      <c r="I149" s="115"/>
      <c r="J149" s="115"/>
      <c r="K149" s="115"/>
    </row>
    <row r="150" spans="1:11" s="118" customFormat="1" ht="20" customHeight="1" x14ac:dyDescent="0.35">
      <c r="A150" s="115"/>
      <c r="B150" s="212"/>
      <c r="C150" s="120" t="s">
        <v>11</v>
      </c>
      <c r="D150" s="134">
        <f t="shared" si="0"/>
        <v>0</v>
      </c>
      <c r="E150" s="134">
        <f t="shared" si="0"/>
        <v>0</v>
      </c>
      <c r="F150" s="2"/>
      <c r="G150" s="115"/>
      <c r="H150" s="115"/>
      <c r="I150" s="115"/>
      <c r="J150" s="115"/>
      <c r="K150" s="115"/>
    </row>
    <row r="151" spans="1:11" s="118" customFormat="1" ht="20" customHeight="1" x14ac:dyDescent="0.35">
      <c r="A151" s="115"/>
      <c r="B151" s="115"/>
      <c r="C151" s="71"/>
      <c r="D151" s="124"/>
      <c r="E151" s="124"/>
      <c r="F151" s="2"/>
      <c r="G151" s="115"/>
      <c r="H151" s="115"/>
      <c r="I151" s="115"/>
      <c r="J151" s="115"/>
      <c r="K151" s="115"/>
    </row>
    <row r="152" spans="1:11" s="118" customFormat="1" ht="20" customHeight="1" x14ac:dyDescent="0.35">
      <c r="A152" s="115"/>
      <c r="B152" s="115"/>
      <c r="C152" s="71"/>
      <c r="D152" s="124"/>
      <c r="E152" s="124"/>
      <c r="F152" s="115"/>
      <c r="G152" s="115"/>
      <c r="H152" s="115"/>
      <c r="I152" s="115"/>
      <c r="J152" s="115"/>
      <c r="K152" s="115"/>
    </row>
    <row r="153" spans="1:11" s="118" customFormat="1" ht="20" customHeight="1" x14ac:dyDescent="0.35">
      <c r="A153" s="115"/>
      <c r="B153" s="115"/>
      <c r="C153" s="71"/>
      <c r="D153" s="124"/>
      <c r="E153" s="124"/>
      <c r="F153" s="115"/>
      <c r="G153" s="115"/>
      <c r="H153" s="115"/>
      <c r="I153" s="115"/>
      <c r="J153" s="115"/>
      <c r="K153" s="115"/>
    </row>
    <row r="154" spans="1:11" s="118" customFormat="1" ht="20" customHeight="1" x14ac:dyDescent="0.35">
      <c r="A154" s="115"/>
      <c r="B154" s="115"/>
      <c r="C154" s="71"/>
      <c r="D154" s="124"/>
      <c r="E154" s="124"/>
      <c r="F154" s="115"/>
      <c r="G154" s="115"/>
      <c r="H154" s="115"/>
      <c r="I154" s="115"/>
      <c r="J154" s="115"/>
      <c r="K154" s="115"/>
    </row>
    <row r="155" spans="1:11" s="2" customFormat="1" x14ac:dyDescent="0.35"/>
    <row r="156" spans="1:11" s="2" customFormat="1" ht="16" customHeight="1" x14ac:dyDescent="0.35"/>
    <row r="157" spans="1:11" s="2" customFormat="1" x14ac:dyDescent="0.35">
      <c r="C157" s="398"/>
      <c r="D157" s="398"/>
      <c r="E157" s="398"/>
    </row>
    <row r="158" spans="1:11" s="2" customFormat="1" x14ac:dyDescent="0.35"/>
    <row r="159" spans="1:11" s="2" customFormat="1" x14ac:dyDescent="0.35"/>
    <row r="160" spans="1:11" s="2" customFormat="1" x14ac:dyDescent="0.35"/>
    <row r="161" s="2" customFormat="1" x14ac:dyDescent="0.35"/>
    <row r="162" s="2" customFormat="1" x14ac:dyDescent="0.35"/>
    <row r="163" s="2" customFormat="1" x14ac:dyDescent="0.35"/>
    <row r="164" s="2" customFormat="1" x14ac:dyDescent="0.35"/>
    <row r="165" s="2" customFormat="1" x14ac:dyDescent="0.35"/>
    <row r="166" s="2" customFormat="1" x14ac:dyDescent="0.35"/>
    <row r="167" s="2" customFormat="1" ht="16" customHeight="1" x14ac:dyDescent="0.35"/>
    <row r="168" s="2" customFormat="1" x14ac:dyDescent="0.35"/>
    <row r="169" s="2" customFormat="1" x14ac:dyDescent="0.35"/>
    <row r="170" s="2" customFormat="1" ht="16" customHeight="1" x14ac:dyDescent="0.35"/>
    <row r="171" s="2" customFormat="1" ht="16" customHeight="1" x14ac:dyDescent="0.35"/>
    <row r="172" s="2" customFormat="1" hidden="1" x14ac:dyDescent="0.35"/>
    <row r="173" s="2" customFormat="1" hidden="1" x14ac:dyDescent="0.35"/>
    <row r="174" s="2" customFormat="1" hidden="1" x14ac:dyDescent="0.35"/>
  </sheetData>
  <sheetProtection algorithmName="SHA-512" hashValue="sOC2iE1rsC3A8P6QZpBOGXT4+A5+d2KgbMQ49eSavJ8IQPyiTqg3mJnI1bZ7Pk6PQsE41kDd1U56RZazZGSlMA==" saltValue="mwIGDvbPhv7q01k11xiFVA==" spinCount="100000" sheet="1" formatCells="0" formatColumns="0" formatRows="0"/>
  <mergeCells count="11">
    <mergeCell ref="C157:E157"/>
    <mergeCell ref="C112:F112"/>
    <mergeCell ref="C133:F133"/>
    <mergeCell ref="C33:F33"/>
    <mergeCell ref="C5:F5"/>
    <mergeCell ref="C6:F6"/>
    <mergeCell ref="C39:C40"/>
    <mergeCell ref="C90:F90"/>
    <mergeCell ref="C109:F109"/>
    <mergeCell ref="C108:F108"/>
    <mergeCell ref="C125:F125"/>
  </mergeCells>
  <conditionalFormatting sqref="C63:C67">
    <cfRule type="containsText" dxfId="20" priority="3" operator="containsText" text="Enter custom waste/recycling stream">
      <formula>NOT(ISERROR(SEARCH("Enter custom waste/recycling stream",C63)))</formula>
    </cfRule>
  </conditionalFormatting>
  <conditionalFormatting sqref="D128:D130">
    <cfRule type="containsText" dxfId="19" priority="15" operator="containsText" text="Yes">
      <formula>NOT(ISERROR(SEARCH("Yes",D128)))</formula>
    </cfRule>
    <cfRule type="containsText" dxfId="18" priority="16" operator="containsText" text="No">
      <formula>NOT(ISERROR(SEARCH("No",D128)))</formula>
    </cfRule>
  </conditionalFormatting>
  <conditionalFormatting sqref="D43:E67">
    <cfRule type="cellIs" dxfId="17" priority="1" operator="equal">
      <formula>0</formula>
    </cfRule>
  </conditionalFormatting>
  <conditionalFormatting sqref="D115:E119 E115:E121">
    <cfRule type="containsText" dxfId="16" priority="25" operator="containsText" text="Yes">
      <formula>NOT(ISERROR(SEARCH("Yes",D115)))</formula>
    </cfRule>
    <cfRule type="containsText" dxfId="15" priority="26" operator="containsText" text="No">
      <formula>NOT(ISERROR(SEARCH("No",D115)))</formula>
    </cfRule>
  </conditionalFormatting>
  <conditionalFormatting sqref="D136:E136 D141:E141">
    <cfRule type="cellIs" dxfId="14" priority="9" operator="equal">
      <formula>0</formula>
    </cfRule>
  </conditionalFormatting>
  <conditionalFormatting sqref="D137:E140 D142:E145 D147:E150">
    <cfRule type="cellIs" dxfId="13" priority="10" operator="equal">
      <formula>0</formula>
    </cfRule>
  </conditionalFormatting>
  <conditionalFormatting sqref="D146:E146">
    <cfRule type="cellIs" dxfId="12" priority="8" operator="equal">
      <formula>0</formula>
    </cfRule>
  </conditionalFormatting>
  <dataValidations count="1">
    <dataValidation type="list" allowBlank="1" showInputMessage="1" showErrorMessage="1" sqref="D128:D130" xr:uid="{6068C0F4-AF2B-46EC-AB58-A4464E3DBB37}">
      <formula1>"Yes,No"</formula1>
    </dataValidation>
  </dataValidations>
  <pageMargins left="0.25" right="0.25" top="0.75" bottom="0.75" header="0.3" footer="0.3"/>
  <pageSetup paperSize="9" scale="86" orientation="landscape"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2"/>
  <sheetViews>
    <sheetView zoomScaleNormal="100" workbookViewId="0">
      <selection activeCell="B1" sqref="B1"/>
    </sheetView>
  </sheetViews>
  <sheetFormatPr defaultColWidth="0" defaultRowHeight="19" zeroHeight="1" x14ac:dyDescent="0.45"/>
  <cols>
    <col min="1" max="1" width="5.81640625" style="32" customWidth="1"/>
    <col min="2" max="2" width="20.54296875" style="12" customWidth="1"/>
    <col min="3" max="3" width="28" style="9" customWidth="1"/>
    <col min="4" max="4" width="26.81640625" style="9" customWidth="1"/>
    <col min="5" max="7" width="20.54296875" style="9" customWidth="1"/>
    <col min="8" max="8" width="5.81640625" style="8" customWidth="1"/>
    <col min="9" max="16384" width="8.81640625" style="9" hidden="1"/>
  </cols>
  <sheetData>
    <row r="1" spans="2:8" s="32" customFormat="1" x14ac:dyDescent="0.45">
      <c r="B1" s="33"/>
      <c r="H1" s="8"/>
    </row>
    <row r="2" spans="2:8" ht="28.5" customHeight="1" x14ac:dyDescent="0.35">
      <c r="B2" s="403" t="s">
        <v>85</v>
      </c>
      <c r="C2" s="404" t="s">
        <v>55</v>
      </c>
      <c r="D2" s="404" t="s">
        <v>56</v>
      </c>
      <c r="E2" s="404" t="s">
        <v>58</v>
      </c>
      <c r="F2" s="404"/>
      <c r="G2" s="404"/>
    </row>
    <row r="3" spans="2:8" ht="28.5" customHeight="1" x14ac:dyDescent="0.35">
      <c r="B3" s="403"/>
      <c r="C3" s="404"/>
      <c r="D3" s="404"/>
      <c r="E3" s="42" t="s">
        <v>57</v>
      </c>
      <c r="F3" s="42" t="s">
        <v>59</v>
      </c>
      <c r="G3" s="42" t="s">
        <v>60</v>
      </c>
    </row>
    <row r="4" spans="2:8" s="32" customFormat="1" ht="104.5" customHeight="1" x14ac:dyDescent="0.35">
      <c r="B4" s="36" t="s">
        <v>82</v>
      </c>
      <c r="C4" s="37"/>
      <c r="D4" s="38" t="s">
        <v>87</v>
      </c>
      <c r="E4" s="36">
        <v>0.94</v>
      </c>
      <c r="F4" s="36">
        <v>0.45</v>
      </c>
      <c r="G4" s="36">
        <v>0.52</v>
      </c>
      <c r="H4" s="8"/>
    </row>
    <row r="5" spans="2:8" s="32" customFormat="1" ht="104.5" customHeight="1" x14ac:dyDescent="0.35">
      <c r="B5" s="36" t="s">
        <v>61</v>
      </c>
      <c r="C5" s="37"/>
      <c r="D5" s="39" t="s">
        <v>87</v>
      </c>
      <c r="E5" s="36">
        <v>0.93</v>
      </c>
      <c r="F5" s="36">
        <v>0.48</v>
      </c>
      <c r="G5" s="36">
        <v>0.55000000000000004</v>
      </c>
      <c r="H5" s="8"/>
    </row>
    <row r="6" spans="2:8" s="32" customFormat="1" ht="104.5" customHeight="1" x14ac:dyDescent="0.35">
      <c r="B6" s="36" t="s">
        <v>65</v>
      </c>
      <c r="C6" s="37"/>
      <c r="D6" s="38" t="s">
        <v>87</v>
      </c>
      <c r="E6" s="36" t="s">
        <v>62</v>
      </c>
      <c r="F6" s="36" t="s">
        <v>63</v>
      </c>
      <c r="G6" s="36" t="s">
        <v>64</v>
      </c>
      <c r="H6" s="8"/>
    </row>
    <row r="7" spans="2:8" s="32" customFormat="1" ht="104.5" customHeight="1" x14ac:dyDescent="0.35">
      <c r="B7" s="40" t="s">
        <v>88</v>
      </c>
      <c r="C7" s="37"/>
      <c r="D7" s="37" t="s">
        <v>66</v>
      </c>
      <c r="E7" s="36" t="s">
        <v>67</v>
      </c>
      <c r="F7" s="36" t="s">
        <v>68</v>
      </c>
      <c r="G7" s="36" t="s">
        <v>69</v>
      </c>
      <c r="H7" s="8"/>
    </row>
    <row r="8" spans="2:8" s="32" customFormat="1" ht="104.5" customHeight="1" x14ac:dyDescent="0.35">
      <c r="B8" s="36" t="s">
        <v>81</v>
      </c>
      <c r="C8" s="37"/>
      <c r="D8" s="37" t="s">
        <v>66</v>
      </c>
      <c r="E8" s="36" t="s">
        <v>70</v>
      </c>
      <c r="F8" s="36" t="s">
        <v>71</v>
      </c>
      <c r="G8" s="36" t="s">
        <v>72</v>
      </c>
      <c r="H8" s="8"/>
    </row>
    <row r="9" spans="2:8" s="32" customFormat="1" ht="104.5" customHeight="1" x14ac:dyDescent="0.35">
      <c r="B9" s="40" t="s">
        <v>89</v>
      </c>
      <c r="C9" s="37"/>
      <c r="D9" s="37" t="s">
        <v>86</v>
      </c>
      <c r="E9" s="36" t="s">
        <v>73</v>
      </c>
      <c r="F9" s="36" t="s">
        <v>74</v>
      </c>
      <c r="G9" s="36" t="s">
        <v>75</v>
      </c>
      <c r="H9" s="8"/>
    </row>
    <row r="10" spans="2:8" s="32" customFormat="1" ht="104.5" customHeight="1" x14ac:dyDescent="0.35">
      <c r="B10" s="40" t="s">
        <v>90</v>
      </c>
      <c r="C10" s="37"/>
      <c r="D10" s="37" t="s">
        <v>86</v>
      </c>
      <c r="E10" s="36" t="s">
        <v>76</v>
      </c>
      <c r="F10" s="36" t="s">
        <v>74</v>
      </c>
      <c r="G10" s="36" t="s">
        <v>77</v>
      </c>
      <c r="H10" s="8"/>
    </row>
    <row r="11" spans="2:8" s="32" customFormat="1" ht="104.5" customHeight="1" x14ac:dyDescent="0.35">
      <c r="B11" s="40" t="s">
        <v>91</v>
      </c>
      <c r="C11" s="37"/>
      <c r="D11" s="37" t="s">
        <v>86</v>
      </c>
      <c r="E11" s="36" t="s">
        <v>78</v>
      </c>
      <c r="F11" s="36" t="s">
        <v>79</v>
      </c>
      <c r="G11" s="36" t="s">
        <v>80</v>
      </c>
      <c r="H11" s="8"/>
    </row>
    <row r="12" spans="2:8" s="32" customFormat="1" ht="104.5" customHeight="1" x14ac:dyDescent="0.35">
      <c r="B12" s="40" t="s">
        <v>20</v>
      </c>
      <c r="C12" s="37"/>
      <c r="D12" s="37" t="s">
        <v>84</v>
      </c>
      <c r="E12" s="36">
        <v>1.8</v>
      </c>
      <c r="F12" s="36">
        <v>1.7</v>
      </c>
      <c r="G12" s="36">
        <v>1.2</v>
      </c>
      <c r="H12" s="8"/>
    </row>
    <row r="13" spans="2:8" s="32" customFormat="1" ht="104.5" customHeight="1" x14ac:dyDescent="0.35">
      <c r="B13" s="41" t="s">
        <v>92</v>
      </c>
      <c r="C13" s="402"/>
      <c r="D13" s="37" t="s">
        <v>83</v>
      </c>
      <c r="E13" s="36">
        <v>0.98</v>
      </c>
      <c r="F13" s="36">
        <v>5.0999999999999996</v>
      </c>
      <c r="G13" s="36">
        <v>2.4</v>
      </c>
      <c r="H13" s="8"/>
    </row>
    <row r="14" spans="2:8" s="32" customFormat="1" ht="104.5" customHeight="1" x14ac:dyDescent="0.35">
      <c r="B14" s="41" t="s">
        <v>93</v>
      </c>
      <c r="C14" s="402"/>
      <c r="D14" s="37" t="s">
        <v>83</v>
      </c>
      <c r="E14" s="36">
        <v>1.2</v>
      </c>
      <c r="F14" s="36">
        <v>5.0999999999999996</v>
      </c>
      <c r="G14" s="36">
        <v>2.4</v>
      </c>
      <c r="H14" s="8"/>
    </row>
    <row r="15" spans="2:8" s="32" customFormat="1" ht="104.5" customHeight="1" x14ac:dyDescent="0.35">
      <c r="B15" s="41" t="s">
        <v>94</v>
      </c>
      <c r="C15" s="402"/>
      <c r="D15" s="37" t="s">
        <v>83</v>
      </c>
      <c r="E15" s="36">
        <v>1.5</v>
      </c>
      <c r="F15" s="36">
        <v>6.7</v>
      </c>
      <c r="G15" s="36">
        <v>2.4</v>
      </c>
      <c r="H15" s="8"/>
    </row>
    <row r="16" spans="2:8" s="32" customFormat="1" ht="104.5" customHeight="1" x14ac:dyDescent="0.35">
      <c r="B16" s="41" t="s">
        <v>95</v>
      </c>
      <c r="C16" s="402"/>
      <c r="D16" s="37" t="s">
        <v>83</v>
      </c>
      <c r="E16" s="36">
        <v>2.2999999999999998</v>
      </c>
      <c r="F16" s="36">
        <v>6.7</v>
      </c>
      <c r="G16" s="36">
        <v>2.4</v>
      </c>
      <c r="H16" s="8"/>
    </row>
    <row r="17" spans="2:8" s="32" customFormat="1" x14ac:dyDescent="0.35">
      <c r="B17" s="35"/>
      <c r="C17" s="34"/>
      <c r="D17" s="34"/>
      <c r="E17" s="34"/>
      <c r="F17" s="34"/>
      <c r="G17" s="34"/>
      <c r="H17" s="8"/>
    </row>
    <row r="18" spans="2:8" hidden="1" x14ac:dyDescent="0.35">
      <c r="B18" s="10"/>
      <c r="C18" s="11"/>
      <c r="D18" s="11"/>
      <c r="E18" s="11"/>
      <c r="F18" s="11"/>
      <c r="G18" s="11"/>
    </row>
    <row r="19" spans="2:8" hidden="1" x14ac:dyDescent="0.35">
      <c r="B19" s="10"/>
      <c r="C19" s="11"/>
      <c r="D19" s="11"/>
      <c r="E19" s="11"/>
      <c r="F19" s="11"/>
      <c r="G19" s="11"/>
    </row>
    <row r="20" spans="2:8" hidden="1" x14ac:dyDescent="0.35">
      <c r="B20" s="10"/>
      <c r="C20" s="11"/>
      <c r="D20" s="11"/>
      <c r="E20" s="11"/>
      <c r="F20" s="11"/>
      <c r="G20" s="11"/>
    </row>
    <row r="21" spans="2:8" hidden="1" x14ac:dyDescent="0.35">
      <c r="B21" s="10"/>
      <c r="C21" s="11"/>
      <c r="D21" s="11"/>
      <c r="E21" s="11"/>
      <c r="F21" s="11"/>
      <c r="G21" s="11"/>
    </row>
    <row r="22" spans="2:8" hidden="1" x14ac:dyDescent="0.35">
      <c r="B22" s="10"/>
      <c r="C22" s="11"/>
      <c r="D22" s="11"/>
      <c r="E22" s="11"/>
      <c r="F22" s="11"/>
      <c r="G22" s="11"/>
    </row>
    <row r="23" spans="2:8" hidden="1" x14ac:dyDescent="0.35">
      <c r="B23" s="10"/>
      <c r="C23" s="11"/>
      <c r="D23" s="11"/>
      <c r="E23" s="11"/>
      <c r="F23" s="11"/>
      <c r="G23" s="11"/>
    </row>
    <row r="24" spans="2:8" hidden="1" x14ac:dyDescent="0.35">
      <c r="B24" s="10"/>
      <c r="C24" s="11"/>
      <c r="D24" s="11"/>
      <c r="E24" s="11"/>
      <c r="F24" s="11"/>
      <c r="G24" s="11"/>
    </row>
    <row r="25" spans="2:8" hidden="1" x14ac:dyDescent="0.35">
      <c r="B25" s="10"/>
      <c r="C25" s="11"/>
      <c r="D25" s="11"/>
      <c r="E25" s="11"/>
      <c r="F25" s="11"/>
      <c r="G25" s="11"/>
    </row>
    <row r="26" spans="2:8" hidden="1" x14ac:dyDescent="0.35">
      <c r="B26" s="10"/>
      <c r="C26" s="11"/>
      <c r="D26" s="11"/>
      <c r="E26" s="11"/>
      <c r="F26" s="11"/>
      <c r="G26" s="11"/>
    </row>
    <row r="27" spans="2:8" hidden="1" x14ac:dyDescent="0.35">
      <c r="B27" s="10"/>
      <c r="C27" s="11"/>
      <c r="D27" s="11"/>
      <c r="E27" s="11"/>
      <c r="F27" s="11"/>
      <c r="G27" s="11"/>
    </row>
    <row r="28" spans="2:8" hidden="1" x14ac:dyDescent="0.35">
      <c r="B28" s="10"/>
      <c r="C28" s="11"/>
      <c r="D28" s="11"/>
      <c r="E28" s="11"/>
      <c r="F28" s="11"/>
      <c r="G28" s="11"/>
    </row>
    <row r="29" spans="2:8" hidden="1" x14ac:dyDescent="0.35">
      <c r="B29" s="10"/>
      <c r="C29" s="11"/>
      <c r="D29" s="11"/>
      <c r="E29" s="11"/>
      <c r="F29" s="11"/>
      <c r="G29" s="11"/>
    </row>
    <row r="30" spans="2:8" hidden="1" x14ac:dyDescent="0.35">
      <c r="B30" s="10"/>
      <c r="C30" s="11"/>
      <c r="D30" s="11"/>
      <c r="E30" s="11"/>
      <c r="F30" s="11"/>
      <c r="G30" s="11"/>
    </row>
    <row r="31" spans="2:8" hidden="1" x14ac:dyDescent="0.35">
      <c r="B31" s="10"/>
      <c r="C31" s="11"/>
      <c r="D31" s="11"/>
      <c r="E31" s="11"/>
      <c r="F31" s="11"/>
      <c r="G31" s="11"/>
    </row>
    <row r="32" spans="2:8" hidden="1" x14ac:dyDescent="0.35">
      <c r="B32" s="10"/>
      <c r="C32" s="11"/>
      <c r="D32" s="11"/>
      <c r="E32" s="11"/>
      <c r="F32" s="11"/>
      <c r="G32" s="11"/>
    </row>
  </sheetData>
  <sheetProtection algorithmName="SHA-512" hashValue="skUCiH9OFbYy4bbdg4lfjQBzIOoIHUSDv1ov6Gj14CVRjxNcaOvqXEbUmnlFjB98r+g2C7jUGX3V+WvOSWaa8A==" saltValue="27kecGP0eZXkR7Nfa+7A9Q==" spinCount="100000" sheet="1" objects="1" scenarios="1" formatRows="0"/>
  <mergeCells count="5">
    <mergeCell ref="C13:C16"/>
    <mergeCell ref="B2:B3"/>
    <mergeCell ref="C2:C3"/>
    <mergeCell ref="D2:D3"/>
    <mergeCell ref="E2:G2"/>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G98"/>
  <sheetViews>
    <sheetView zoomScale="85" zoomScaleNormal="85" workbookViewId="0">
      <pane xSplit="3" topLeftCell="D1" activePane="topRight" state="frozen"/>
      <selection activeCell="A20" sqref="A20"/>
      <selection pane="topRight" activeCell="C52" sqref="C52"/>
    </sheetView>
  </sheetViews>
  <sheetFormatPr defaultColWidth="9.1796875" defaultRowHeight="15" x14ac:dyDescent="0.35"/>
  <cols>
    <col min="1" max="1" width="4.36328125" style="20" customWidth="1"/>
    <col min="2" max="2" width="17.1796875" style="20" customWidth="1"/>
    <col min="3" max="3" width="57" style="20" bestFit="1" customWidth="1"/>
    <col min="4" max="5" width="9.1796875" style="20" customWidth="1"/>
    <col min="6" max="6" width="28.1796875" style="24" customWidth="1"/>
    <col min="7" max="7" width="9.1796875" style="24" customWidth="1"/>
    <col min="8" max="9" width="9.1796875" style="20" customWidth="1"/>
    <col min="10" max="10" width="55.453125" style="20" customWidth="1"/>
    <col min="11" max="11" width="16.1796875" style="20" customWidth="1"/>
    <col min="12" max="12" width="20.81640625" style="20" customWidth="1"/>
    <col min="13" max="13" width="11.453125" style="20" customWidth="1"/>
    <col min="14" max="27" width="13.453125" style="20" customWidth="1"/>
    <col min="28" max="29" width="16.453125" style="20" customWidth="1"/>
    <col min="30" max="30" width="16.81640625" style="20" customWidth="1"/>
    <col min="31" max="32" width="13.453125" style="20" customWidth="1"/>
    <col min="33" max="36" width="16" style="20" customWidth="1"/>
    <col min="37" max="117" width="13.453125" style="20" customWidth="1"/>
    <col min="118" max="16384" width="9.1796875" style="20"/>
  </cols>
  <sheetData>
    <row r="1" spans="2:13" ht="24.5" customHeight="1" x14ac:dyDescent="0.35">
      <c r="B1" s="49" t="s">
        <v>129</v>
      </c>
      <c r="C1" s="50"/>
      <c r="D1" s="50"/>
      <c r="E1" s="50"/>
      <c r="F1" s="50"/>
      <c r="G1" s="51"/>
      <c r="H1" s="51"/>
      <c r="J1" s="49" t="s">
        <v>215</v>
      </c>
      <c r="K1" s="49"/>
      <c r="L1" s="49"/>
      <c r="M1" s="49"/>
    </row>
    <row r="2" spans="2:13" x14ac:dyDescent="0.35">
      <c r="F2" s="20"/>
      <c r="H2" s="24"/>
    </row>
    <row r="3" spans="2:13" ht="16" x14ac:dyDescent="0.35">
      <c r="B3" s="22" t="s">
        <v>9</v>
      </c>
      <c r="C3" s="22" t="s">
        <v>33</v>
      </c>
      <c r="E3" s="22" t="s">
        <v>2</v>
      </c>
      <c r="F3" s="20"/>
      <c r="G3" s="47" t="s">
        <v>3</v>
      </c>
      <c r="H3" s="47" t="s">
        <v>8</v>
      </c>
      <c r="J3" s="70" t="s">
        <v>12</v>
      </c>
      <c r="K3" s="21" t="s">
        <v>221</v>
      </c>
      <c r="L3" s="21" t="s">
        <v>216</v>
      </c>
      <c r="M3" s="22" t="s">
        <v>218</v>
      </c>
    </row>
    <row r="4" spans="2:13" ht="16" x14ac:dyDescent="0.35">
      <c r="B4" s="20" t="s">
        <v>29</v>
      </c>
      <c r="C4" s="20">
        <v>365</v>
      </c>
      <c r="E4" s="22"/>
      <c r="F4" s="20"/>
      <c r="G4" s="47"/>
      <c r="H4" s="47"/>
      <c r="J4" s="100" t="s">
        <v>134</v>
      </c>
      <c r="K4" s="104">
        <v>4.406936470588235</v>
      </c>
      <c r="L4" s="103" t="s">
        <v>217</v>
      </c>
      <c r="M4" s="106" t="s">
        <v>220</v>
      </c>
    </row>
    <row r="5" spans="2:13" x14ac:dyDescent="0.35">
      <c r="B5" s="20" t="s">
        <v>23</v>
      </c>
      <c r="C5" s="20">
        <f>5*52</f>
        <v>260</v>
      </c>
      <c r="E5" s="20" t="s">
        <v>1</v>
      </c>
      <c r="F5" s="20"/>
      <c r="G5" s="24" t="s">
        <v>198</v>
      </c>
      <c r="H5" s="24">
        <v>5.0000000000000001E-3</v>
      </c>
      <c r="J5" s="101" t="s">
        <v>135</v>
      </c>
      <c r="K5" s="104"/>
      <c r="L5" s="103" t="s">
        <v>217</v>
      </c>
      <c r="M5" s="106"/>
    </row>
    <row r="6" spans="2:13" x14ac:dyDescent="0.35">
      <c r="B6" s="20" t="s">
        <v>24</v>
      </c>
      <c r="C6" s="20">
        <f>4*52</f>
        <v>208</v>
      </c>
      <c r="E6" s="20" t="s">
        <v>12</v>
      </c>
      <c r="F6" s="20"/>
      <c r="G6" s="24" t="s">
        <v>35</v>
      </c>
      <c r="H6" s="24">
        <v>0.02</v>
      </c>
      <c r="J6" s="101" t="s">
        <v>206</v>
      </c>
      <c r="K6" s="104">
        <v>0.16889999999999999</v>
      </c>
      <c r="L6" s="103" t="s">
        <v>217</v>
      </c>
      <c r="M6" s="106" t="s">
        <v>219</v>
      </c>
    </row>
    <row r="7" spans="2:13" x14ac:dyDescent="0.35">
      <c r="B7" s="20" t="s">
        <v>22</v>
      </c>
      <c r="C7" s="20">
        <f>3*52</f>
        <v>156</v>
      </c>
      <c r="E7" s="20" t="s">
        <v>54</v>
      </c>
      <c r="F7" s="20"/>
      <c r="G7" s="24" t="s">
        <v>21</v>
      </c>
      <c r="H7" s="24">
        <v>0.08</v>
      </c>
      <c r="J7" s="101" t="s">
        <v>96</v>
      </c>
      <c r="K7" s="104">
        <v>0.62356181934657284</v>
      </c>
      <c r="L7" s="103" t="s">
        <v>217</v>
      </c>
      <c r="M7" s="106" t="s">
        <v>220</v>
      </c>
    </row>
    <row r="8" spans="2:13" x14ac:dyDescent="0.35">
      <c r="B8" s="20" t="s">
        <v>25</v>
      </c>
      <c r="C8" s="20">
        <f>2*52</f>
        <v>104</v>
      </c>
      <c r="E8" s="20" t="s">
        <v>11</v>
      </c>
      <c r="F8" s="20"/>
      <c r="G8" s="24" t="s">
        <v>4</v>
      </c>
      <c r="H8" s="24">
        <v>0.12</v>
      </c>
      <c r="J8" s="101" t="s">
        <v>204</v>
      </c>
      <c r="K8" s="104">
        <v>1.3</v>
      </c>
      <c r="L8" s="103" t="s">
        <v>217</v>
      </c>
      <c r="M8" s="106" t="s">
        <v>219</v>
      </c>
    </row>
    <row r="9" spans="2:13" x14ac:dyDescent="0.35">
      <c r="B9" s="20" t="s">
        <v>32</v>
      </c>
      <c r="C9" s="20">
        <v>52</v>
      </c>
      <c r="F9" s="20"/>
      <c r="G9" s="24" t="s">
        <v>5</v>
      </c>
      <c r="H9" s="24">
        <v>0.14000000000000001</v>
      </c>
      <c r="J9" s="102" t="s">
        <v>139</v>
      </c>
      <c r="K9" s="104"/>
      <c r="L9" s="103" t="s">
        <v>217</v>
      </c>
      <c r="M9" s="106"/>
    </row>
    <row r="10" spans="2:13" ht="16" x14ac:dyDescent="0.35">
      <c r="B10" s="20" t="s">
        <v>30</v>
      </c>
      <c r="C10" s="20">
        <v>26</v>
      </c>
      <c r="E10" s="22" t="s">
        <v>277</v>
      </c>
      <c r="F10" s="20"/>
      <c r="G10" s="24" t="s">
        <v>6</v>
      </c>
      <c r="H10" s="48">
        <v>0.24</v>
      </c>
      <c r="J10" s="101" t="s">
        <v>136</v>
      </c>
      <c r="K10" s="104"/>
      <c r="L10" s="103" t="s">
        <v>217</v>
      </c>
      <c r="M10" s="106"/>
    </row>
    <row r="11" spans="2:13" ht="28" customHeight="1" x14ac:dyDescent="0.35">
      <c r="B11" s="20" t="s">
        <v>31</v>
      </c>
      <c r="C11" s="20">
        <v>12</v>
      </c>
      <c r="E11" s="20" t="s">
        <v>278</v>
      </c>
      <c r="F11" s="20"/>
      <c r="G11" s="24" t="s">
        <v>7</v>
      </c>
      <c r="H11" s="24">
        <v>0.36</v>
      </c>
      <c r="J11" s="102" t="s">
        <v>201</v>
      </c>
      <c r="K11" s="104">
        <v>0.64100000000000001</v>
      </c>
      <c r="L11" s="103" t="s">
        <v>217</v>
      </c>
      <c r="M11" s="107" t="s">
        <v>222</v>
      </c>
    </row>
    <row r="12" spans="2:13" x14ac:dyDescent="0.35">
      <c r="B12" s="20" t="s">
        <v>34</v>
      </c>
      <c r="C12" s="46">
        <f>52/6</f>
        <v>8.6666666666666661</v>
      </c>
      <c r="E12" s="20" t="s">
        <v>279</v>
      </c>
      <c r="F12" s="20"/>
      <c r="G12" s="24" t="s">
        <v>18</v>
      </c>
      <c r="H12" s="24">
        <v>0.66</v>
      </c>
      <c r="J12" s="101" t="s">
        <v>207</v>
      </c>
      <c r="K12" s="104">
        <f>(K6*0.8)+(K13*0.2)</f>
        <v>0.39512000000000003</v>
      </c>
      <c r="L12" s="103" t="s">
        <v>217</v>
      </c>
      <c r="M12" s="106" t="s">
        <v>220</v>
      </c>
    </row>
    <row r="13" spans="2:13" x14ac:dyDescent="0.35">
      <c r="B13" s="20" t="s">
        <v>28</v>
      </c>
      <c r="C13" s="20">
        <v>4</v>
      </c>
      <c r="F13" s="20"/>
      <c r="G13" s="24" t="s">
        <v>19</v>
      </c>
      <c r="H13" s="48">
        <v>1.1000000000000001</v>
      </c>
      <c r="J13" s="101" t="s">
        <v>167</v>
      </c>
      <c r="K13" s="104">
        <v>1.3</v>
      </c>
      <c r="L13" s="103" t="s">
        <v>217</v>
      </c>
      <c r="M13" s="106" t="s">
        <v>219</v>
      </c>
    </row>
    <row r="14" spans="2:13" x14ac:dyDescent="0.35">
      <c r="B14" s="20" t="s">
        <v>27</v>
      </c>
      <c r="C14" s="20">
        <v>2</v>
      </c>
      <c r="F14" s="20"/>
      <c r="G14" s="24" t="s">
        <v>237</v>
      </c>
      <c r="H14" s="24">
        <v>1.5</v>
      </c>
      <c r="J14" s="101" t="s">
        <v>138</v>
      </c>
      <c r="K14" s="104"/>
      <c r="L14" s="103" t="s">
        <v>217</v>
      </c>
      <c r="M14" s="106"/>
    </row>
    <row r="15" spans="2:13" ht="16" x14ac:dyDescent="0.35">
      <c r="B15" s="20" t="s">
        <v>26</v>
      </c>
      <c r="C15" s="20">
        <v>1</v>
      </c>
      <c r="E15" s="22" t="s">
        <v>303</v>
      </c>
      <c r="F15" s="20"/>
      <c r="G15" s="24" t="s">
        <v>244</v>
      </c>
      <c r="H15" s="24">
        <v>3</v>
      </c>
      <c r="J15" s="102" t="s">
        <v>137</v>
      </c>
      <c r="K15" s="104">
        <v>0.82499999999999996</v>
      </c>
      <c r="L15" s="103" t="s">
        <v>217</v>
      </c>
      <c r="M15" s="107" t="s">
        <v>219</v>
      </c>
    </row>
    <row r="16" spans="2:13" x14ac:dyDescent="0.35">
      <c r="E16" s="20" t="s">
        <v>304</v>
      </c>
      <c r="F16" s="20"/>
      <c r="G16" s="24" t="s">
        <v>243</v>
      </c>
      <c r="H16" s="24">
        <v>4.5</v>
      </c>
    </row>
    <row r="17" spans="2:30" ht="16" x14ac:dyDescent="0.35">
      <c r="E17" s="20" t="s">
        <v>305</v>
      </c>
      <c r="F17" s="20"/>
      <c r="G17" s="24" t="s">
        <v>245</v>
      </c>
      <c r="H17" s="24">
        <v>6</v>
      </c>
      <c r="O17" s="21" t="s">
        <v>220</v>
      </c>
      <c r="P17" s="21" t="s">
        <v>231</v>
      </c>
    </row>
    <row r="18" spans="2:30" x14ac:dyDescent="0.35">
      <c r="F18" s="20"/>
      <c r="G18" s="24" t="s">
        <v>246</v>
      </c>
      <c r="H18" s="48">
        <v>8</v>
      </c>
      <c r="J18" s="101" t="s">
        <v>223</v>
      </c>
      <c r="K18" s="105">
        <v>0.23094661463752644</v>
      </c>
      <c r="L18" s="103" t="s">
        <v>224</v>
      </c>
      <c r="M18" s="107" t="s">
        <v>219</v>
      </c>
      <c r="O18" s="135">
        <f>K18*'3 Waste Report'!$D$105</f>
        <v>0</v>
      </c>
      <c r="P18" s="135">
        <f>ROUND(O18,-0.5)</f>
        <v>0</v>
      </c>
    </row>
    <row r="19" spans="2:30" ht="16" x14ac:dyDescent="0.35">
      <c r="B19" s="22" t="s">
        <v>36</v>
      </c>
      <c r="F19" s="20"/>
      <c r="G19" s="24" t="s">
        <v>20</v>
      </c>
      <c r="H19" s="48">
        <v>30</v>
      </c>
      <c r="J19" s="101" t="s">
        <v>225</v>
      </c>
      <c r="K19" s="105">
        <v>1.4947687766665279</v>
      </c>
      <c r="L19" s="103" t="s">
        <v>226</v>
      </c>
      <c r="M19" s="107" t="s">
        <v>219</v>
      </c>
      <c r="O19" s="135">
        <f>K19*'3 Waste Report'!$D$105</f>
        <v>0</v>
      </c>
      <c r="P19" s="135">
        <f>ROUND(O19,-0.5)</f>
        <v>0</v>
      </c>
    </row>
    <row r="20" spans="2:30" x14ac:dyDescent="0.35">
      <c r="B20" s="20" t="s">
        <v>37</v>
      </c>
      <c r="C20" s="20">
        <v>365</v>
      </c>
      <c r="F20" s="20"/>
      <c r="G20" s="24" t="s">
        <v>240</v>
      </c>
      <c r="H20" s="48">
        <v>8</v>
      </c>
    </row>
    <row r="21" spans="2:30" x14ac:dyDescent="0.35">
      <c r="B21" s="20" t="s">
        <v>38</v>
      </c>
      <c r="C21" s="20">
        <v>52</v>
      </c>
      <c r="F21" s="20"/>
      <c r="G21" s="24" t="s">
        <v>239</v>
      </c>
      <c r="H21" s="48">
        <v>10</v>
      </c>
    </row>
    <row r="22" spans="2:30" x14ac:dyDescent="0.35">
      <c r="B22" s="20" t="s">
        <v>41</v>
      </c>
      <c r="C22" s="20">
        <f>C21/2</f>
        <v>26</v>
      </c>
      <c r="F22" s="20"/>
      <c r="G22" s="24" t="s">
        <v>238</v>
      </c>
      <c r="H22" s="48">
        <v>20</v>
      </c>
    </row>
    <row r="23" spans="2:30" x14ac:dyDescent="0.35">
      <c r="B23" s="20" t="s">
        <v>40</v>
      </c>
      <c r="C23" s="20">
        <v>12</v>
      </c>
      <c r="F23" s="20"/>
      <c r="G23" s="24" t="s">
        <v>241</v>
      </c>
      <c r="H23" s="48">
        <v>30</v>
      </c>
    </row>
    <row r="24" spans="2:30" x14ac:dyDescent="0.35">
      <c r="B24" s="20" t="s">
        <v>42</v>
      </c>
      <c r="C24" s="20">
        <v>4</v>
      </c>
      <c r="F24" s="20"/>
      <c r="H24" s="24"/>
    </row>
    <row r="25" spans="2:30" x14ac:dyDescent="0.35">
      <c r="B25" s="20" t="s">
        <v>39</v>
      </c>
      <c r="C25" s="20">
        <v>1</v>
      </c>
      <c r="F25" s="20"/>
      <c r="H25" s="24"/>
    </row>
    <row r="26" spans="2:30" x14ac:dyDescent="0.35">
      <c r="F26" s="20"/>
      <c r="H26" s="24"/>
    </row>
    <row r="29" spans="2:30" ht="35.5" customHeight="1" x14ac:dyDescent="0.35">
      <c r="C29" s="411" t="s">
        <v>17</v>
      </c>
      <c r="D29" s="411"/>
      <c r="E29" s="411"/>
      <c r="F29" s="411"/>
      <c r="G29" s="411"/>
      <c r="H29" s="411"/>
      <c r="I29" s="411"/>
      <c r="J29" s="411"/>
      <c r="K29" s="411"/>
      <c r="L29" s="411"/>
      <c r="M29" s="411"/>
      <c r="N29" s="411"/>
      <c r="O29" s="411"/>
      <c r="P29" s="411"/>
      <c r="Q29" s="411"/>
      <c r="R29" s="411"/>
      <c r="S29" s="411"/>
      <c r="T29" s="411"/>
      <c r="U29" s="411"/>
      <c r="V29" s="411"/>
      <c r="W29" s="411"/>
    </row>
    <row r="30" spans="2:30" ht="21.65" customHeight="1" x14ac:dyDescent="0.35">
      <c r="C30" s="408" t="s">
        <v>16</v>
      </c>
      <c r="D30" s="61"/>
      <c r="E30" s="408" t="s">
        <v>131</v>
      </c>
      <c r="F30" s="56"/>
      <c r="G30" s="56"/>
      <c r="H30" s="405" t="s">
        <v>3</v>
      </c>
      <c r="I30" s="406"/>
      <c r="J30" s="406"/>
      <c r="K30" s="406"/>
      <c r="L30" s="406"/>
      <c r="M30" s="406"/>
      <c r="N30" s="406"/>
      <c r="O30" s="406"/>
      <c r="P30" s="406"/>
      <c r="Q30" s="406"/>
      <c r="R30" s="406"/>
      <c r="S30" s="406"/>
      <c r="T30" s="406"/>
      <c r="U30" s="406"/>
      <c r="V30" s="406"/>
      <c r="W30" s="406"/>
      <c r="X30" s="407"/>
    </row>
    <row r="31" spans="2:30" ht="30.75" customHeight="1" x14ac:dyDescent="0.35">
      <c r="C31" s="409"/>
      <c r="D31" s="62"/>
      <c r="E31" s="409"/>
      <c r="F31" s="57" t="s">
        <v>198</v>
      </c>
      <c r="G31" s="57" t="s">
        <v>35</v>
      </c>
      <c r="H31" s="57" t="s">
        <v>21</v>
      </c>
      <c r="I31" s="57" t="s">
        <v>4</v>
      </c>
      <c r="J31" s="57" t="s">
        <v>5</v>
      </c>
      <c r="K31" s="58" t="s">
        <v>6</v>
      </c>
      <c r="L31" s="58" t="s">
        <v>7</v>
      </c>
      <c r="M31" s="58" t="s">
        <v>18</v>
      </c>
      <c r="N31" s="58" t="s">
        <v>19</v>
      </c>
      <c r="O31" s="58" t="s">
        <v>237</v>
      </c>
      <c r="P31" s="58" t="s">
        <v>244</v>
      </c>
      <c r="Q31" s="58" t="s">
        <v>243</v>
      </c>
      <c r="R31" s="58" t="s">
        <v>245</v>
      </c>
      <c r="S31" s="58" t="s">
        <v>246</v>
      </c>
      <c r="T31" s="58" t="s">
        <v>20</v>
      </c>
      <c r="U31" s="58" t="s">
        <v>240</v>
      </c>
      <c r="V31" s="58" t="s">
        <v>239</v>
      </c>
      <c r="W31" s="58" t="s">
        <v>238</v>
      </c>
      <c r="X31" s="58" t="s">
        <v>241</v>
      </c>
    </row>
    <row r="32" spans="2:30" ht="32" x14ac:dyDescent="0.35">
      <c r="C32" s="410"/>
      <c r="D32" s="63"/>
      <c r="E32" s="410"/>
      <c r="F32" s="57">
        <v>5.0000000000000001E-3</v>
      </c>
      <c r="G32" s="57">
        <v>0.02</v>
      </c>
      <c r="H32" s="57">
        <v>0.08</v>
      </c>
      <c r="I32" s="57">
        <v>0.12</v>
      </c>
      <c r="J32" s="57">
        <v>0.14000000000000001</v>
      </c>
      <c r="K32" s="57">
        <v>0.24</v>
      </c>
      <c r="L32" s="57">
        <v>0.36</v>
      </c>
      <c r="M32" s="57">
        <v>0.66</v>
      </c>
      <c r="N32" s="59">
        <v>1.1000000000000001</v>
      </c>
      <c r="O32" s="57">
        <v>1.5</v>
      </c>
      <c r="P32" s="59">
        <v>3</v>
      </c>
      <c r="Q32" s="57">
        <v>4.5</v>
      </c>
      <c r="R32" s="59">
        <v>6</v>
      </c>
      <c r="S32" s="59">
        <v>8</v>
      </c>
      <c r="T32" s="59">
        <v>2.2000000000000002</v>
      </c>
      <c r="U32" s="59">
        <v>8</v>
      </c>
      <c r="V32" s="59">
        <v>10</v>
      </c>
      <c r="W32" s="59">
        <v>20</v>
      </c>
      <c r="X32" s="59">
        <v>30</v>
      </c>
      <c r="AA32" s="60" t="s">
        <v>1</v>
      </c>
      <c r="AB32" s="60" t="s">
        <v>12</v>
      </c>
      <c r="AC32" s="60" t="s">
        <v>54</v>
      </c>
      <c r="AD32" s="60" t="s">
        <v>11</v>
      </c>
    </row>
    <row r="33" spans="2:59" ht="16" x14ac:dyDescent="0.35">
      <c r="C33" s="56"/>
      <c r="D33" s="56"/>
      <c r="E33" s="56"/>
      <c r="F33" s="56"/>
      <c r="G33" s="56"/>
      <c r="H33" s="57"/>
      <c r="I33" s="57"/>
      <c r="J33" s="57"/>
      <c r="K33" s="57"/>
      <c r="L33" s="57"/>
      <c r="M33" s="57"/>
      <c r="N33" s="59"/>
      <c r="O33" s="57"/>
      <c r="P33" s="59"/>
      <c r="Q33" s="57"/>
      <c r="R33" s="59"/>
      <c r="S33" s="59"/>
      <c r="T33" s="59"/>
      <c r="U33" s="59"/>
      <c r="V33" s="59"/>
      <c r="W33" s="59"/>
      <c r="X33" s="59"/>
    </row>
    <row r="34" spans="2:59" ht="15.65" customHeight="1" x14ac:dyDescent="0.35">
      <c r="B34" s="412" t="s">
        <v>0</v>
      </c>
      <c r="C34" s="54" t="s">
        <v>134</v>
      </c>
      <c r="D34" s="73" t="s">
        <v>154</v>
      </c>
      <c r="E34" s="53" t="s">
        <v>12</v>
      </c>
      <c r="F34" s="55">
        <v>80</v>
      </c>
      <c r="G34" s="55">
        <v>80</v>
      </c>
      <c r="H34" s="55">
        <v>80</v>
      </c>
      <c r="I34" s="55">
        <v>80</v>
      </c>
      <c r="J34" s="55">
        <v>80</v>
      </c>
      <c r="K34" s="55">
        <v>80</v>
      </c>
      <c r="L34" s="55">
        <v>80</v>
      </c>
      <c r="M34" s="55">
        <v>80</v>
      </c>
      <c r="N34" s="55">
        <v>80</v>
      </c>
      <c r="O34" s="55">
        <v>80</v>
      </c>
      <c r="P34" s="55">
        <v>80</v>
      </c>
      <c r="Q34" s="55">
        <v>80</v>
      </c>
      <c r="R34" s="55">
        <v>80</v>
      </c>
      <c r="S34" s="55">
        <v>80</v>
      </c>
      <c r="T34" s="55">
        <v>80</v>
      </c>
      <c r="U34" s="55" t="s">
        <v>51</v>
      </c>
      <c r="V34" s="55" t="s">
        <v>51</v>
      </c>
      <c r="W34" s="55" t="s">
        <v>51</v>
      </c>
      <c r="X34" s="55" t="s">
        <v>51</v>
      </c>
      <c r="AA34" s="45">
        <f>COUNTIFS('2a Enter data - Est. Volumes'!$B$9:$B$28,'Lists - Hidden'!$C34,'2a Enter data - Est. Volumes'!$D$9:$D$28,'Lists - Hidden'!AA$32)</f>
        <v>0</v>
      </c>
      <c r="AB34" s="45">
        <f>COUNTIFS('2a Enter data - Est. Volumes'!$B$9:$B$28,'Lists - Hidden'!$C34,'2a Enter data - Est. Volumes'!$D$9:$D$28,'Lists - Hidden'!AB$32)</f>
        <v>0</v>
      </c>
      <c r="AC34" s="45">
        <f>COUNTIFS('2a Enter data - Est. Volumes'!$B$9:$B$28,'Lists - Hidden'!$C34,'2a Enter data - Est. Volumes'!$D$9:$D$28,'Lists - Hidden'!AC$32)</f>
        <v>0</v>
      </c>
      <c r="AD34" s="45">
        <f>COUNTIFS('2a Enter data - Est. Volumes'!$B$9:$B$28,'Lists - Hidden'!$C34,'2a Enter data - Est. Volumes'!$D$9:$D$28,'Lists - Hidden'!AD$32)</f>
        <v>0</v>
      </c>
    </row>
    <row r="35" spans="2:59" x14ac:dyDescent="0.35">
      <c r="B35" s="412"/>
      <c r="C35" s="53" t="s">
        <v>135</v>
      </c>
      <c r="D35" s="74" t="s">
        <v>135</v>
      </c>
      <c r="E35" s="53" t="s">
        <v>12</v>
      </c>
      <c r="F35" s="17">
        <v>1000</v>
      </c>
      <c r="G35" s="17">
        <v>1000</v>
      </c>
      <c r="H35" s="17">
        <v>1000</v>
      </c>
      <c r="I35" s="17">
        <v>1000</v>
      </c>
      <c r="J35" s="17">
        <v>1000</v>
      </c>
      <c r="K35" s="17">
        <v>1000</v>
      </c>
      <c r="L35" s="17">
        <v>1000</v>
      </c>
      <c r="M35" s="17">
        <v>1000</v>
      </c>
      <c r="N35" s="17">
        <v>1000</v>
      </c>
      <c r="O35" s="17">
        <v>1000</v>
      </c>
      <c r="P35" s="17">
        <v>1000</v>
      </c>
      <c r="Q35" s="17">
        <v>1000</v>
      </c>
      <c r="R35" s="17">
        <v>1000</v>
      </c>
      <c r="S35" s="17">
        <v>1000</v>
      </c>
      <c r="T35" s="17">
        <v>1000</v>
      </c>
      <c r="U35" s="17" t="s">
        <v>51</v>
      </c>
      <c r="V35" s="17" t="s">
        <v>51</v>
      </c>
      <c r="W35" s="17" t="s">
        <v>51</v>
      </c>
      <c r="X35" s="17" t="s">
        <v>51</v>
      </c>
      <c r="AA35" s="45">
        <f>COUNTIFS('2a Enter data - Est. Volumes'!$B$9:$B$28,'Lists - Hidden'!$C35,'2a Enter data - Est. Volumes'!$D$9:$D$28,'Lists - Hidden'!AA$32)</f>
        <v>0</v>
      </c>
      <c r="AB35" s="45">
        <f>COUNTIFS('2a Enter data - Est. Volumes'!$B$9:$B$28,'Lists - Hidden'!$C35,'2a Enter data - Est. Volumes'!$D$9:$D$28,'Lists - Hidden'!AB$32)</f>
        <v>0</v>
      </c>
      <c r="AC35" s="45">
        <f>COUNTIFS('2a Enter data - Est. Volumes'!$B$9:$B$28,'Lists - Hidden'!$C35,'2a Enter data - Est. Volumes'!$D$9:$D$28,'Lists - Hidden'!AC$32)</f>
        <v>0</v>
      </c>
      <c r="AD35" s="45">
        <f>COUNTIFS('2a Enter data - Est. Volumes'!$B$9:$B$28,'Lists - Hidden'!$C35,'2a Enter data - Est. Volumes'!$D$9:$D$28,'Lists - Hidden'!AD$32)</f>
        <v>0</v>
      </c>
    </row>
    <row r="36" spans="2:59" x14ac:dyDescent="0.35">
      <c r="B36" s="412"/>
      <c r="C36" s="53" t="s">
        <v>206</v>
      </c>
      <c r="D36" s="74" t="s">
        <v>202</v>
      </c>
      <c r="E36" s="53" t="s">
        <v>12</v>
      </c>
      <c r="F36" s="17">
        <v>50</v>
      </c>
      <c r="G36" s="17">
        <v>50</v>
      </c>
      <c r="H36" s="17">
        <v>50</v>
      </c>
      <c r="I36" s="17">
        <v>50</v>
      </c>
      <c r="J36" s="17">
        <v>50</v>
      </c>
      <c r="K36" s="17">
        <v>50</v>
      </c>
      <c r="L36" s="17">
        <v>50</v>
      </c>
      <c r="M36" s="17">
        <v>50</v>
      </c>
      <c r="N36" s="17">
        <v>50</v>
      </c>
      <c r="O36" s="17">
        <v>50</v>
      </c>
      <c r="P36" s="17">
        <v>50</v>
      </c>
      <c r="Q36" s="17">
        <v>50</v>
      </c>
      <c r="R36" s="17">
        <v>50</v>
      </c>
      <c r="S36" s="17">
        <v>50</v>
      </c>
      <c r="T36" s="17">
        <v>50</v>
      </c>
      <c r="U36" s="17">
        <f>Q36*3</f>
        <v>150</v>
      </c>
      <c r="V36" s="17">
        <f>R36*3</f>
        <v>150</v>
      </c>
      <c r="W36" s="17">
        <f>S36*3</f>
        <v>150</v>
      </c>
      <c r="X36" s="17">
        <f>T36*3</f>
        <v>150</v>
      </c>
      <c r="AA36" s="45">
        <f>COUNTIFS('2a Enter data - Est. Volumes'!$B$9:$B$28,'Lists - Hidden'!$C36,'2a Enter data - Est. Volumes'!$D$9:$D$28,'Lists - Hidden'!AA$32)</f>
        <v>0</v>
      </c>
      <c r="AB36" s="45">
        <f>COUNTIFS('2a Enter data - Est. Volumes'!$B$9:$B$28,'Lists - Hidden'!$C36,'2a Enter data - Est. Volumes'!$D$9:$D$28,'Lists - Hidden'!AB$32)</f>
        <v>0</v>
      </c>
      <c r="AC36" s="45">
        <f>COUNTIFS('2a Enter data - Est. Volumes'!$B$9:$B$28,'Lists - Hidden'!$C36,'2a Enter data - Est. Volumes'!$D$9:$D$28,'Lists - Hidden'!AC$32)</f>
        <v>0</v>
      </c>
      <c r="AD36" s="45">
        <f>COUNTIFS('2a Enter data - Est. Volumes'!$B$9:$B$28,'Lists - Hidden'!$C36,'2a Enter data - Est. Volumes'!$D$9:$D$28,'Lists - Hidden'!AD$32)</f>
        <v>0</v>
      </c>
      <c r="BG36" s="45" t="s">
        <v>203</v>
      </c>
    </row>
    <row r="37" spans="2:59" x14ac:dyDescent="0.35">
      <c r="B37" s="412"/>
      <c r="C37" s="53" t="s">
        <v>153</v>
      </c>
      <c r="D37" s="73" t="s">
        <v>155</v>
      </c>
      <c r="E37" s="53" t="s">
        <v>54</v>
      </c>
      <c r="F37" s="17">
        <v>45</v>
      </c>
      <c r="G37" s="17">
        <v>45</v>
      </c>
      <c r="H37" s="17">
        <v>45</v>
      </c>
      <c r="I37" s="17">
        <v>45</v>
      </c>
      <c r="J37" s="17">
        <v>45</v>
      </c>
      <c r="K37" s="17">
        <v>45</v>
      </c>
      <c r="L37" s="17">
        <v>45</v>
      </c>
      <c r="M37" s="17">
        <v>45</v>
      </c>
      <c r="N37" s="17">
        <v>45</v>
      </c>
      <c r="O37" s="17">
        <v>45</v>
      </c>
      <c r="P37" s="17">
        <v>45</v>
      </c>
      <c r="Q37" s="17">
        <v>45</v>
      </c>
      <c r="R37" s="17">
        <v>45</v>
      </c>
      <c r="S37" s="17">
        <v>45</v>
      </c>
      <c r="T37" s="17">
        <v>45</v>
      </c>
      <c r="U37" s="17" t="s">
        <v>51</v>
      </c>
      <c r="V37" s="17" t="s">
        <v>51</v>
      </c>
      <c r="W37" s="17" t="s">
        <v>51</v>
      </c>
      <c r="X37" s="17" t="s">
        <v>51</v>
      </c>
      <c r="AA37" s="45">
        <f>COUNTIFS('2a Enter data - Est. Volumes'!$B$9:$B$28,'Lists - Hidden'!$C37,'2a Enter data - Est. Volumes'!$D$9:$D$28,'Lists - Hidden'!AA$32)</f>
        <v>0</v>
      </c>
      <c r="AB37" s="45">
        <f>COUNTIFS('2a Enter data - Est. Volumes'!$B$9:$B$28,'Lists - Hidden'!$C37,'2a Enter data - Est. Volumes'!$D$9:$D$28,'Lists - Hidden'!AB$32)</f>
        <v>0</v>
      </c>
      <c r="AC37" s="45">
        <f>COUNTIFS('2a Enter data - Est. Volumes'!$B$9:$B$28,'Lists - Hidden'!$C37,'2a Enter data - Est. Volumes'!$D$9:$D$28,'Lists - Hidden'!AC$32)</f>
        <v>0</v>
      </c>
      <c r="AD37" s="45">
        <f>COUNTIFS('2a Enter data - Est. Volumes'!$B$9:$B$28,'Lists - Hidden'!$C37,'2a Enter data - Est. Volumes'!$D$9:$D$28,'Lists - Hidden'!AD$32)</f>
        <v>0</v>
      </c>
    </row>
    <row r="38" spans="2:59" x14ac:dyDescent="0.35">
      <c r="B38" s="412"/>
      <c r="C38" s="53" t="s">
        <v>96</v>
      </c>
      <c r="D38" s="74" t="s">
        <v>156</v>
      </c>
      <c r="E38" s="53" t="s">
        <v>12</v>
      </c>
      <c r="F38" s="17">
        <v>45</v>
      </c>
      <c r="G38" s="17">
        <v>45</v>
      </c>
      <c r="H38" s="17">
        <v>45</v>
      </c>
      <c r="I38" s="17">
        <v>45</v>
      </c>
      <c r="J38" s="17">
        <v>45</v>
      </c>
      <c r="K38" s="17">
        <v>45</v>
      </c>
      <c r="L38" s="17">
        <v>45</v>
      </c>
      <c r="M38" s="17">
        <v>45</v>
      </c>
      <c r="N38" s="17">
        <v>45</v>
      </c>
      <c r="O38" s="17">
        <v>45</v>
      </c>
      <c r="P38" s="17">
        <v>45</v>
      </c>
      <c r="Q38" s="17">
        <v>45</v>
      </c>
      <c r="R38" s="17">
        <v>45</v>
      </c>
      <c r="S38" s="17">
        <v>45</v>
      </c>
      <c r="T38" s="17">
        <v>45</v>
      </c>
      <c r="U38" s="17" t="s">
        <v>51</v>
      </c>
      <c r="V38" s="17" t="s">
        <v>51</v>
      </c>
      <c r="W38" s="17" t="s">
        <v>51</v>
      </c>
      <c r="X38" s="17" t="s">
        <v>51</v>
      </c>
      <c r="AA38" s="45">
        <f>COUNTIFS('2a Enter data - Est. Volumes'!$B$9:$B$28,'Lists - Hidden'!$C38,'2a Enter data - Est. Volumes'!$D$9:$D$28,'Lists - Hidden'!AA$32)</f>
        <v>0</v>
      </c>
      <c r="AB38" s="45">
        <f>COUNTIFS('2a Enter data - Est. Volumes'!$B$9:$B$28,'Lists - Hidden'!$C38,'2a Enter data - Est. Volumes'!$D$9:$D$28,'Lists - Hidden'!AB$32)</f>
        <v>0</v>
      </c>
      <c r="AC38" s="45">
        <f>COUNTIFS('2a Enter data - Est. Volumes'!$B$9:$B$28,'Lists - Hidden'!$C38,'2a Enter data - Est. Volumes'!$D$9:$D$28,'Lists - Hidden'!AC$32)</f>
        <v>0</v>
      </c>
      <c r="AD38" s="45">
        <f>COUNTIFS('2a Enter data - Est. Volumes'!$B$9:$B$28,'Lists - Hidden'!$C38,'2a Enter data - Est. Volumes'!$D$9:$D$28,'Lists - Hidden'!AD$32)</f>
        <v>0</v>
      </c>
    </row>
    <row r="39" spans="2:59" x14ac:dyDescent="0.35">
      <c r="B39" s="412"/>
      <c r="C39" s="53" t="s">
        <v>204</v>
      </c>
      <c r="D39" s="73" t="s">
        <v>205</v>
      </c>
      <c r="E39" s="53" t="s">
        <v>12</v>
      </c>
      <c r="F39" s="17">
        <v>200</v>
      </c>
      <c r="G39" s="17">
        <v>200</v>
      </c>
      <c r="H39" s="17">
        <v>200</v>
      </c>
      <c r="I39" s="17">
        <v>200</v>
      </c>
      <c r="J39" s="17">
        <v>200</v>
      </c>
      <c r="K39" s="17">
        <v>200</v>
      </c>
      <c r="L39" s="17">
        <v>200</v>
      </c>
      <c r="M39" s="17">
        <v>200</v>
      </c>
      <c r="N39" s="17">
        <v>200</v>
      </c>
      <c r="O39" s="17">
        <v>200</v>
      </c>
      <c r="P39" s="17">
        <v>200</v>
      </c>
      <c r="Q39" s="17">
        <v>200</v>
      </c>
      <c r="R39" s="17">
        <v>200</v>
      </c>
      <c r="S39" s="17">
        <v>200</v>
      </c>
      <c r="T39" s="17">
        <v>200</v>
      </c>
      <c r="U39" s="17" t="s">
        <v>51</v>
      </c>
      <c r="V39" s="17" t="s">
        <v>51</v>
      </c>
      <c r="W39" s="17" t="s">
        <v>51</v>
      </c>
      <c r="X39" s="17" t="s">
        <v>51</v>
      </c>
      <c r="AA39" s="45">
        <f>COUNTIFS('2a Enter data - Est. Volumes'!$B$9:$B$28,'Lists - Hidden'!$C39,'2a Enter data - Est. Volumes'!$D$9:$D$28,'Lists - Hidden'!AA$32)</f>
        <v>0</v>
      </c>
      <c r="AB39" s="45">
        <f>COUNTIFS('2a Enter data - Est. Volumes'!$B$9:$B$28,'Lists - Hidden'!$C39,'2a Enter data - Est. Volumes'!$D$9:$D$28,'Lists - Hidden'!AB$32)</f>
        <v>0</v>
      </c>
      <c r="AC39" s="45">
        <f>COUNTIFS('2a Enter data - Est. Volumes'!$B$9:$B$28,'Lists - Hidden'!$C39,'2a Enter data - Est. Volumes'!$D$9:$D$28,'Lists - Hidden'!AC$32)</f>
        <v>0</v>
      </c>
      <c r="AD39" s="45">
        <f>COUNTIFS('2a Enter data - Est. Volumes'!$B$9:$B$28,'Lists - Hidden'!$C39,'2a Enter data - Est. Volumes'!$D$9:$D$28,'Lists - Hidden'!AD$32)</f>
        <v>0</v>
      </c>
    </row>
    <row r="40" spans="2:59" x14ac:dyDescent="0.35">
      <c r="B40" s="412"/>
      <c r="C40" s="53" t="s">
        <v>130</v>
      </c>
      <c r="D40" s="74" t="s">
        <v>157</v>
      </c>
      <c r="E40" s="53" t="s">
        <v>54</v>
      </c>
      <c r="F40" s="17">
        <v>65</v>
      </c>
      <c r="G40" s="17">
        <v>65</v>
      </c>
      <c r="H40" s="17">
        <v>65</v>
      </c>
      <c r="I40" s="17">
        <v>65</v>
      </c>
      <c r="J40" s="17">
        <v>65</v>
      </c>
      <c r="K40" s="17">
        <v>65</v>
      </c>
      <c r="L40" s="17">
        <v>65</v>
      </c>
      <c r="M40" s="17">
        <v>65</v>
      </c>
      <c r="N40" s="17">
        <v>65</v>
      </c>
      <c r="O40" s="17">
        <v>65</v>
      </c>
      <c r="P40" s="17">
        <v>65</v>
      </c>
      <c r="Q40" s="17">
        <v>65</v>
      </c>
      <c r="R40" s="17">
        <v>65</v>
      </c>
      <c r="S40" s="17">
        <v>65</v>
      </c>
      <c r="T40" s="17">
        <v>65</v>
      </c>
      <c r="U40" s="17" t="s">
        <v>51</v>
      </c>
      <c r="V40" s="17" t="s">
        <v>51</v>
      </c>
      <c r="W40" s="17" t="s">
        <v>51</v>
      </c>
      <c r="X40" s="17" t="s">
        <v>51</v>
      </c>
      <c r="AA40" s="45">
        <f>COUNTIFS('2a Enter data - Est. Volumes'!$B$9:$B$28,'Lists - Hidden'!$C40,'2a Enter data - Est. Volumes'!$D$9:$D$28,'Lists - Hidden'!AA$32)</f>
        <v>0</v>
      </c>
      <c r="AB40" s="45">
        <f>COUNTIFS('2a Enter data - Est. Volumes'!$B$9:$B$28,'Lists - Hidden'!$C40,'2a Enter data - Est. Volumes'!$D$9:$D$28,'Lists - Hidden'!AB$32)</f>
        <v>0</v>
      </c>
      <c r="AC40" s="45">
        <f>COUNTIFS('2a Enter data - Est. Volumes'!$B$9:$B$28,'Lists - Hidden'!$C40,'2a Enter data - Est. Volumes'!$D$9:$D$28,'Lists - Hidden'!AC$32)</f>
        <v>0</v>
      </c>
      <c r="AD40" s="45">
        <f>COUNTIFS('2a Enter data - Est. Volumes'!$B$9:$B$28,'Lists - Hidden'!$C40,'2a Enter data - Est. Volumes'!$D$9:$D$28,'Lists - Hidden'!AD$32)</f>
        <v>0</v>
      </c>
    </row>
    <row r="41" spans="2:59" x14ac:dyDescent="0.35">
      <c r="B41" s="412"/>
      <c r="C41" s="53" t="s">
        <v>139</v>
      </c>
      <c r="D41" s="74" t="s">
        <v>158</v>
      </c>
      <c r="E41" s="53" t="s">
        <v>12</v>
      </c>
      <c r="F41" s="17">
        <v>200</v>
      </c>
      <c r="G41" s="17">
        <v>200</v>
      </c>
      <c r="H41" s="17">
        <v>200</v>
      </c>
      <c r="I41" s="17">
        <v>200</v>
      </c>
      <c r="J41" s="17">
        <v>200</v>
      </c>
      <c r="K41" s="17">
        <v>200</v>
      </c>
      <c r="L41" s="17">
        <v>200</v>
      </c>
      <c r="M41" s="17">
        <v>200</v>
      </c>
      <c r="N41" s="17">
        <v>200</v>
      </c>
      <c r="O41" s="17">
        <v>200</v>
      </c>
      <c r="P41" s="17">
        <v>200</v>
      </c>
      <c r="Q41" s="17">
        <v>200</v>
      </c>
      <c r="R41" s="17">
        <v>200</v>
      </c>
      <c r="S41" s="17">
        <v>200</v>
      </c>
      <c r="T41" s="17">
        <v>200</v>
      </c>
      <c r="U41" s="17" t="s">
        <v>51</v>
      </c>
      <c r="V41" s="17" t="s">
        <v>51</v>
      </c>
      <c r="W41" s="17" t="s">
        <v>51</v>
      </c>
      <c r="X41" s="17" t="s">
        <v>51</v>
      </c>
      <c r="AA41" s="45">
        <f>COUNTIFS('2a Enter data - Est. Volumes'!$B$9:$B$28,'Lists - Hidden'!$C41,'2a Enter data - Est. Volumes'!$D$9:$D$28,'Lists - Hidden'!AA$32)</f>
        <v>0</v>
      </c>
      <c r="AB41" s="45">
        <f>COUNTIFS('2a Enter data - Est. Volumes'!$B$9:$B$28,'Lists - Hidden'!$C41,'2a Enter data - Est. Volumes'!$D$9:$D$28,'Lists - Hidden'!AB$32)</f>
        <v>0</v>
      </c>
      <c r="AC41" s="45">
        <f>COUNTIFS('2a Enter data - Est. Volumes'!$B$9:$B$28,'Lists - Hidden'!$C41,'2a Enter data - Est. Volumes'!$D$9:$D$28,'Lists - Hidden'!AC$32)</f>
        <v>0</v>
      </c>
      <c r="AD41" s="45">
        <f>COUNTIFS('2a Enter data - Est. Volumes'!$B$9:$B$28,'Lists - Hidden'!$C41,'2a Enter data - Est. Volumes'!$D$9:$D$28,'Lists - Hidden'!AD$32)</f>
        <v>0</v>
      </c>
    </row>
    <row r="42" spans="2:59" x14ac:dyDescent="0.35">
      <c r="B42" s="412"/>
      <c r="C42" s="53" t="s">
        <v>140</v>
      </c>
      <c r="D42" s="73" t="s">
        <v>159</v>
      </c>
      <c r="E42" s="53" t="s">
        <v>1</v>
      </c>
      <c r="F42" s="17">
        <v>200</v>
      </c>
      <c r="G42" s="17">
        <v>200</v>
      </c>
      <c r="H42" s="17">
        <v>200</v>
      </c>
      <c r="I42" s="17">
        <v>200</v>
      </c>
      <c r="J42" s="17">
        <v>200</v>
      </c>
      <c r="K42" s="17">
        <v>200</v>
      </c>
      <c r="L42" s="17">
        <v>200</v>
      </c>
      <c r="M42" s="17">
        <v>200</v>
      </c>
      <c r="N42" s="17">
        <v>200</v>
      </c>
      <c r="O42" s="17">
        <v>200</v>
      </c>
      <c r="P42" s="17">
        <v>200</v>
      </c>
      <c r="Q42" s="17">
        <v>200</v>
      </c>
      <c r="R42" s="17">
        <v>200</v>
      </c>
      <c r="S42" s="17">
        <v>200</v>
      </c>
      <c r="T42" s="17">
        <v>200</v>
      </c>
      <c r="U42" s="17" t="s">
        <v>51</v>
      </c>
      <c r="V42" s="17" t="s">
        <v>51</v>
      </c>
      <c r="W42" s="17" t="s">
        <v>51</v>
      </c>
      <c r="X42" s="17" t="s">
        <v>51</v>
      </c>
      <c r="AA42" s="45">
        <f>COUNTIFS('2a Enter data - Est. Volumes'!$B$9:$B$28,'Lists - Hidden'!$C42,'2a Enter data - Est. Volumes'!$D$9:$D$28,'Lists - Hidden'!AA$32)</f>
        <v>0</v>
      </c>
      <c r="AB42" s="45">
        <f>COUNTIFS('2a Enter data - Est. Volumes'!$B$9:$B$28,'Lists - Hidden'!$C42,'2a Enter data - Est. Volumes'!$D$9:$D$28,'Lists - Hidden'!AB$32)</f>
        <v>0</v>
      </c>
      <c r="AC42" s="45">
        <f>COUNTIFS('2a Enter data - Est. Volumes'!$B$9:$B$28,'Lists - Hidden'!$C42,'2a Enter data - Est. Volumes'!$D$9:$D$28,'Lists - Hidden'!AC$32)</f>
        <v>0</v>
      </c>
      <c r="AD42" s="45">
        <f>COUNTIFS('2a Enter data - Est. Volumes'!$B$9:$B$28,'Lists - Hidden'!$C42,'2a Enter data - Est. Volumes'!$D$9:$D$28,'Lists - Hidden'!AD$32)</f>
        <v>0</v>
      </c>
    </row>
    <row r="43" spans="2:59" x14ac:dyDescent="0.35">
      <c r="B43" s="412"/>
      <c r="C43" s="53" t="s">
        <v>136</v>
      </c>
      <c r="D43" s="74" t="s">
        <v>160</v>
      </c>
      <c r="E43" s="53" t="s">
        <v>12</v>
      </c>
      <c r="F43" s="17">
        <v>285</v>
      </c>
      <c r="G43" s="17">
        <v>285</v>
      </c>
      <c r="H43" s="17">
        <v>285</v>
      </c>
      <c r="I43" s="17">
        <v>285</v>
      </c>
      <c r="J43" s="17">
        <v>285</v>
      </c>
      <c r="K43" s="17">
        <v>285</v>
      </c>
      <c r="L43" s="17">
        <v>285</v>
      </c>
      <c r="M43" s="17">
        <v>285</v>
      </c>
      <c r="N43" s="17">
        <v>285</v>
      </c>
      <c r="O43" s="17">
        <v>285</v>
      </c>
      <c r="P43" s="17">
        <v>285</v>
      </c>
      <c r="Q43" s="17">
        <v>285</v>
      </c>
      <c r="R43" s="17">
        <v>285</v>
      </c>
      <c r="S43" s="17">
        <v>285</v>
      </c>
      <c r="T43" s="17">
        <v>285</v>
      </c>
      <c r="U43" s="17" t="s">
        <v>51</v>
      </c>
      <c r="V43" s="17" t="s">
        <v>51</v>
      </c>
      <c r="W43" s="17" t="s">
        <v>51</v>
      </c>
      <c r="X43" s="17" t="s">
        <v>51</v>
      </c>
      <c r="AA43" s="45">
        <f>COUNTIFS('2a Enter data - Est. Volumes'!$B$9:$B$28,'Lists - Hidden'!$C43,'2a Enter data - Est. Volumes'!$D$9:$D$28,'Lists - Hidden'!AA$32)</f>
        <v>0</v>
      </c>
      <c r="AB43" s="45">
        <f>COUNTIFS('2a Enter data - Est. Volumes'!$B$9:$B$28,'Lists - Hidden'!$C43,'2a Enter data - Est. Volumes'!$D$9:$D$28,'Lists - Hidden'!AB$32)</f>
        <v>0</v>
      </c>
      <c r="AC43" s="45">
        <f>COUNTIFS('2a Enter data - Est. Volumes'!$B$9:$B$28,'Lists - Hidden'!$C43,'2a Enter data - Est. Volumes'!$D$9:$D$28,'Lists - Hidden'!AC$32)</f>
        <v>0</v>
      </c>
      <c r="AD43" s="45">
        <f>COUNTIFS('2a Enter data - Est. Volumes'!$B$9:$B$28,'Lists - Hidden'!$C43,'2a Enter data - Est. Volumes'!$D$9:$D$28,'Lists - Hidden'!AD$32)</f>
        <v>0</v>
      </c>
    </row>
    <row r="44" spans="2:59" x14ac:dyDescent="0.35">
      <c r="B44" s="412"/>
      <c r="C44" s="53" t="s">
        <v>127</v>
      </c>
      <c r="D44" s="74" t="s">
        <v>161</v>
      </c>
      <c r="E44" s="53" t="s">
        <v>11</v>
      </c>
      <c r="F44" s="17">
        <v>80</v>
      </c>
      <c r="G44" s="17">
        <v>80</v>
      </c>
      <c r="H44" s="17">
        <v>80</v>
      </c>
      <c r="I44" s="17">
        <v>80</v>
      </c>
      <c r="J44" s="17">
        <v>80</v>
      </c>
      <c r="K44" s="17">
        <v>80</v>
      </c>
      <c r="L44" s="17">
        <v>80</v>
      </c>
      <c r="M44" s="17">
        <v>80</v>
      </c>
      <c r="N44" s="17">
        <v>80</v>
      </c>
      <c r="O44" s="17">
        <v>80</v>
      </c>
      <c r="P44" s="17">
        <v>80</v>
      </c>
      <c r="Q44" s="17">
        <v>80</v>
      </c>
      <c r="R44" s="17">
        <v>80</v>
      </c>
      <c r="S44" s="17">
        <v>80</v>
      </c>
      <c r="T44" s="17">
        <v>80</v>
      </c>
      <c r="U44" s="17">
        <f>Q44*4</f>
        <v>320</v>
      </c>
      <c r="V44" s="17">
        <f>R44*4</f>
        <v>320</v>
      </c>
      <c r="W44" s="17">
        <f>S44*4</f>
        <v>320</v>
      </c>
      <c r="X44" s="17">
        <f>T44*4</f>
        <v>320</v>
      </c>
      <c r="AA44" s="45">
        <f>COUNTIFS('2a Enter data - Est. Volumes'!$B$9:$B$28,'Lists - Hidden'!$C44,'2a Enter data - Est. Volumes'!$D$9:$D$28,'Lists - Hidden'!AA$32)</f>
        <v>0</v>
      </c>
      <c r="AB44" s="45">
        <f>COUNTIFS('2a Enter data - Est. Volumes'!$B$9:$B$28,'Lists - Hidden'!$C44,'2a Enter data - Est. Volumes'!$D$9:$D$28,'Lists - Hidden'!AB$32)</f>
        <v>0</v>
      </c>
      <c r="AC44" s="45">
        <f>COUNTIFS('2a Enter data - Est. Volumes'!$B$9:$B$28,'Lists - Hidden'!$C44,'2a Enter data - Est. Volumes'!$D$9:$D$28,'Lists - Hidden'!AC$32)</f>
        <v>0</v>
      </c>
      <c r="AD44" s="45">
        <f>COUNTIFS('2a Enter data - Est. Volumes'!$B$9:$B$28,'Lists - Hidden'!$C44,'2a Enter data - Est. Volumes'!$D$9:$D$28,'Lists - Hidden'!AD$32)</f>
        <v>0</v>
      </c>
    </row>
    <row r="45" spans="2:59" x14ac:dyDescent="0.35">
      <c r="B45" s="412"/>
      <c r="C45" s="53" t="s">
        <v>141</v>
      </c>
      <c r="D45" s="73" t="s">
        <v>162</v>
      </c>
      <c r="E45" s="53" t="s">
        <v>11</v>
      </c>
      <c r="F45" s="17">
        <v>120</v>
      </c>
      <c r="G45" s="17">
        <v>120</v>
      </c>
      <c r="H45" s="17">
        <v>120</v>
      </c>
      <c r="I45" s="17">
        <v>120</v>
      </c>
      <c r="J45" s="17">
        <v>120</v>
      </c>
      <c r="K45" s="17">
        <v>120</v>
      </c>
      <c r="L45" s="17">
        <v>120</v>
      </c>
      <c r="M45" s="17">
        <v>120</v>
      </c>
      <c r="N45" s="17">
        <v>120</v>
      </c>
      <c r="O45" s="17">
        <v>120</v>
      </c>
      <c r="P45" s="17">
        <v>120</v>
      </c>
      <c r="Q45" s="17">
        <v>120</v>
      </c>
      <c r="R45" s="17">
        <v>120</v>
      </c>
      <c r="S45" s="17">
        <v>120</v>
      </c>
      <c r="T45" s="17">
        <v>120</v>
      </c>
      <c r="U45" s="17" t="s">
        <v>51</v>
      </c>
      <c r="V45" s="17" t="s">
        <v>51</v>
      </c>
      <c r="W45" s="17" t="s">
        <v>51</v>
      </c>
      <c r="X45" s="17" t="s">
        <v>51</v>
      </c>
      <c r="AA45" s="45">
        <f>COUNTIFS('2a Enter data - Est. Volumes'!$B$9:$B$28,'Lists - Hidden'!$C45,'2a Enter data - Est. Volumes'!$D$9:$D$28,'Lists - Hidden'!AA$32)</f>
        <v>0</v>
      </c>
      <c r="AB45" s="45">
        <f>COUNTIFS('2a Enter data - Est. Volumes'!$B$9:$B$28,'Lists - Hidden'!$C45,'2a Enter data - Est. Volumes'!$D$9:$D$28,'Lists - Hidden'!AB$32)</f>
        <v>0</v>
      </c>
      <c r="AC45" s="45">
        <f>COUNTIFS('2a Enter data - Est. Volumes'!$B$9:$B$28,'Lists - Hidden'!$C45,'2a Enter data - Est. Volumes'!$D$9:$D$28,'Lists - Hidden'!AC$32)</f>
        <v>0</v>
      </c>
      <c r="AD45" s="45">
        <f>COUNTIFS('2a Enter data - Est. Volumes'!$B$9:$B$28,'Lists - Hidden'!$C45,'2a Enter data - Est. Volumes'!$D$9:$D$28,'Lists - Hidden'!AD$32)</f>
        <v>0</v>
      </c>
    </row>
    <row r="46" spans="2:59" x14ac:dyDescent="0.35">
      <c r="B46" s="412"/>
      <c r="C46" s="53" t="s">
        <v>133</v>
      </c>
      <c r="D46" s="74" t="s">
        <v>163</v>
      </c>
      <c r="E46" s="53" t="s">
        <v>54</v>
      </c>
      <c r="F46" s="17">
        <v>120</v>
      </c>
      <c r="G46" s="17">
        <v>120</v>
      </c>
      <c r="H46" s="17">
        <v>120</v>
      </c>
      <c r="I46" s="17">
        <v>120</v>
      </c>
      <c r="J46" s="17">
        <v>120</v>
      </c>
      <c r="K46" s="17">
        <v>120</v>
      </c>
      <c r="L46" s="17">
        <v>120</v>
      </c>
      <c r="M46" s="17">
        <v>120</v>
      </c>
      <c r="N46" s="17">
        <v>120</v>
      </c>
      <c r="O46" s="17">
        <v>120</v>
      </c>
      <c r="P46" s="17">
        <v>120</v>
      </c>
      <c r="Q46" s="17">
        <v>120</v>
      </c>
      <c r="R46" s="17">
        <v>120</v>
      </c>
      <c r="S46" s="17">
        <v>120</v>
      </c>
      <c r="T46" s="17">
        <v>120</v>
      </c>
      <c r="U46" s="17" t="s">
        <v>51</v>
      </c>
      <c r="V46" s="17" t="s">
        <v>51</v>
      </c>
      <c r="W46" s="17" t="s">
        <v>51</v>
      </c>
      <c r="X46" s="17" t="s">
        <v>51</v>
      </c>
      <c r="AA46" s="45">
        <f>COUNTIFS('2a Enter data - Est. Volumes'!$B$9:$B$28,'Lists - Hidden'!$C46,'2a Enter data - Est. Volumes'!$D$9:$D$28,'Lists - Hidden'!AA$32)</f>
        <v>0</v>
      </c>
      <c r="AB46" s="45">
        <f>COUNTIFS('2a Enter data - Est. Volumes'!$B$9:$B$28,'Lists - Hidden'!$C46,'2a Enter data - Est. Volumes'!$D$9:$D$28,'Lists - Hidden'!AB$32)</f>
        <v>0</v>
      </c>
      <c r="AC46" s="45">
        <f>COUNTIFS('2a Enter data - Est. Volumes'!$B$9:$B$28,'Lists - Hidden'!$C46,'2a Enter data - Est. Volumes'!$D$9:$D$28,'Lists - Hidden'!AC$32)</f>
        <v>0</v>
      </c>
      <c r="AD46" s="45">
        <f>COUNTIFS('2a Enter data - Est. Volumes'!$B$9:$B$28,'Lists - Hidden'!$C46,'2a Enter data - Est. Volumes'!$D$9:$D$28,'Lists - Hidden'!AD$32)</f>
        <v>0</v>
      </c>
    </row>
    <row r="47" spans="2:59" x14ac:dyDescent="0.35">
      <c r="B47" s="412"/>
      <c r="C47" s="53" t="s">
        <v>132</v>
      </c>
      <c r="D47" s="74" t="s">
        <v>164</v>
      </c>
      <c r="E47" s="53" t="s">
        <v>1</v>
      </c>
      <c r="F47" s="17">
        <v>120</v>
      </c>
      <c r="G47" s="17">
        <v>120</v>
      </c>
      <c r="H47" s="17">
        <v>120</v>
      </c>
      <c r="I47" s="17">
        <v>120</v>
      </c>
      <c r="J47" s="17">
        <v>120</v>
      </c>
      <c r="K47" s="17">
        <v>120</v>
      </c>
      <c r="L47" s="17">
        <v>120</v>
      </c>
      <c r="M47" s="17">
        <v>120</v>
      </c>
      <c r="N47" s="17">
        <v>120</v>
      </c>
      <c r="O47" s="17">
        <v>120</v>
      </c>
      <c r="P47" s="17">
        <v>120</v>
      </c>
      <c r="Q47" s="17">
        <v>120</v>
      </c>
      <c r="R47" s="17">
        <v>120</v>
      </c>
      <c r="S47" s="17">
        <v>120</v>
      </c>
      <c r="T47" s="17">
        <v>120</v>
      </c>
      <c r="U47" s="17" t="s">
        <v>51</v>
      </c>
      <c r="V47" s="17" t="s">
        <v>51</v>
      </c>
      <c r="W47" s="17" t="s">
        <v>51</v>
      </c>
      <c r="X47" s="17" t="s">
        <v>51</v>
      </c>
      <c r="AA47" s="45">
        <f>COUNTIFS('2a Enter data - Est. Volumes'!$B$9:$B$28,'Lists - Hidden'!$C47,'2a Enter data - Est. Volumes'!$D$9:$D$28,'Lists - Hidden'!AA$32)</f>
        <v>0</v>
      </c>
      <c r="AB47" s="45">
        <f>COUNTIFS('2a Enter data - Est. Volumes'!$B$9:$B$28,'Lists - Hidden'!$C47,'2a Enter data - Est. Volumes'!$D$9:$D$28,'Lists - Hidden'!AB$32)</f>
        <v>0</v>
      </c>
      <c r="AC47" s="45">
        <f>COUNTIFS('2a Enter data - Est. Volumes'!$B$9:$B$28,'Lists - Hidden'!$C47,'2a Enter data - Est. Volumes'!$D$9:$D$28,'Lists - Hidden'!AC$32)</f>
        <v>0</v>
      </c>
      <c r="AD47" s="45">
        <f>COUNTIFS('2a Enter data - Est. Volumes'!$B$9:$B$28,'Lists - Hidden'!$C47,'2a Enter data - Est. Volumes'!$D$9:$D$28,'Lists - Hidden'!AD$32)</f>
        <v>0</v>
      </c>
    </row>
    <row r="48" spans="2:59" x14ac:dyDescent="0.35">
      <c r="B48" s="412"/>
      <c r="C48" s="96" t="s">
        <v>201</v>
      </c>
      <c r="D48" s="73" t="s">
        <v>165</v>
      </c>
      <c r="E48" s="53" t="s">
        <v>12</v>
      </c>
      <c r="F48" s="17">
        <v>200</v>
      </c>
      <c r="G48" s="17">
        <v>200</v>
      </c>
      <c r="H48" s="17">
        <v>200</v>
      </c>
      <c r="I48" s="17">
        <v>200</v>
      </c>
      <c r="J48" s="17">
        <v>200</v>
      </c>
      <c r="K48" s="17">
        <v>200</v>
      </c>
      <c r="L48" s="17">
        <v>200</v>
      </c>
      <c r="M48" s="17">
        <v>200</v>
      </c>
      <c r="N48" s="17">
        <v>200</v>
      </c>
      <c r="O48" s="17">
        <v>200</v>
      </c>
      <c r="P48" s="17">
        <v>200</v>
      </c>
      <c r="Q48" s="17">
        <v>200</v>
      </c>
      <c r="R48" s="17">
        <v>200</v>
      </c>
      <c r="S48" s="17">
        <v>200</v>
      </c>
      <c r="T48" s="17">
        <v>200</v>
      </c>
      <c r="U48" s="17" t="s">
        <v>51</v>
      </c>
      <c r="V48" s="17" t="s">
        <v>51</v>
      </c>
      <c r="W48" s="17" t="s">
        <v>51</v>
      </c>
      <c r="X48" s="17" t="s">
        <v>51</v>
      </c>
      <c r="AA48" s="45">
        <f>COUNTIFS('2a Enter data - Est. Volumes'!$B$9:$B$28,'Lists - Hidden'!$C48,'2a Enter data - Est. Volumes'!$D$9:$D$28,'Lists - Hidden'!AA$32)</f>
        <v>0</v>
      </c>
      <c r="AB48" s="45">
        <f>COUNTIFS('2a Enter data - Est. Volumes'!$B$9:$B$28,'Lists - Hidden'!$C48,'2a Enter data - Est. Volumes'!$D$9:$D$28,'Lists - Hidden'!AB$32)</f>
        <v>0</v>
      </c>
      <c r="AC48" s="45">
        <f>COUNTIFS('2a Enter data - Est. Volumes'!$B$9:$B$28,'Lists - Hidden'!$C48,'2a Enter data - Est. Volumes'!$D$9:$D$28,'Lists - Hidden'!AC$32)</f>
        <v>0</v>
      </c>
      <c r="AD48" s="45">
        <f>COUNTIFS('2a Enter data - Est. Volumes'!$B$9:$B$28,'Lists - Hidden'!$C48,'2a Enter data - Est. Volumes'!$D$9:$D$28,'Lists - Hidden'!AD$32)</f>
        <v>0</v>
      </c>
    </row>
    <row r="49" spans="1:38" x14ac:dyDescent="0.35">
      <c r="B49" s="412"/>
      <c r="C49" s="53" t="s">
        <v>207</v>
      </c>
      <c r="D49" s="74" t="s">
        <v>166</v>
      </c>
      <c r="E49" s="53" t="s">
        <v>12</v>
      </c>
      <c r="F49" s="17">
        <v>60</v>
      </c>
      <c r="G49" s="17">
        <v>60</v>
      </c>
      <c r="H49" s="17">
        <v>60</v>
      </c>
      <c r="I49" s="17">
        <v>60</v>
      </c>
      <c r="J49" s="17">
        <v>60</v>
      </c>
      <c r="K49" s="17">
        <v>60</v>
      </c>
      <c r="L49" s="17">
        <v>60</v>
      </c>
      <c r="M49" s="17">
        <v>60</v>
      </c>
      <c r="N49" s="17">
        <v>60</v>
      </c>
      <c r="O49" s="17">
        <v>60</v>
      </c>
      <c r="P49" s="17">
        <v>60</v>
      </c>
      <c r="Q49" s="17">
        <v>60</v>
      </c>
      <c r="R49" s="17">
        <v>60</v>
      </c>
      <c r="S49" s="17">
        <v>60</v>
      </c>
      <c r="T49" s="17">
        <v>60</v>
      </c>
      <c r="U49" s="17">
        <f>Q49*3</f>
        <v>180</v>
      </c>
      <c r="V49" s="17">
        <f>R49*3</f>
        <v>180</v>
      </c>
      <c r="W49" s="17">
        <f>S49*3</f>
        <v>180</v>
      </c>
      <c r="X49" s="17">
        <f>T49*3</f>
        <v>180</v>
      </c>
      <c r="AA49" s="45">
        <f>COUNTIFS('2a Enter data - Est. Volumes'!$B$9:$B$28,'Lists - Hidden'!$C49,'2a Enter data - Est. Volumes'!$D$9:$D$28,'Lists - Hidden'!AA$32)</f>
        <v>0</v>
      </c>
      <c r="AB49" s="45">
        <f>COUNTIFS('2a Enter data - Est. Volumes'!$B$9:$B$28,'Lists - Hidden'!$C49,'2a Enter data - Est. Volumes'!$D$9:$D$28,'Lists - Hidden'!AB$32)</f>
        <v>0</v>
      </c>
      <c r="AC49" s="45">
        <f>COUNTIFS('2a Enter data - Est. Volumes'!$B$9:$B$28,'Lists - Hidden'!$C49,'2a Enter data - Est. Volumes'!$D$9:$D$28,'Lists - Hidden'!AC$32)</f>
        <v>0</v>
      </c>
      <c r="AD49" s="45">
        <f>COUNTIFS('2a Enter data - Est. Volumes'!$B$9:$B$28,'Lists - Hidden'!$C49,'2a Enter data - Est. Volumes'!$D$9:$D$28,'Lists - Hidden'!AD$32)</f>
        <v>0</v>
      </c>
    </row>
    <row r="50" spans="1:38" x14ac:dyDescent="0.35">
      <c r="B50" s="412"/>
      <c r="C50" s="53" t="s">
        <v>167</v>
      </c>
      <c r="D50" s="74" t="s">
        <v>167</v>
      </c>
      <c r="E50" s="53" t="s">
        <v>12</v>
      </c>
      <c r="F50" s="17">
        <v>200</v>
      </c>
      <c r="G50" s="17">
        <v>200</v>
      </c>
      <c r="H50" s="17">
        <v>200</v>
      </c>
      <c r="I50" s="17">
        <v>200</v>
      </c>
      <c r="J50" s="17">
        <v>200</v>
      </c>
      <c r="K50" s="17">
        <v>200</v>
      </c>
      <c r="L50" s="17">
        <v>200</v>
      </c>
      <c r="M50" s="17">
        <v>200</v>
      </c>
      <c r="N50" s="17">
        <v>200</v>
      </c>
      <c r="O50" s="17">
        <v>200</v>
      </c>
      <c r="P50" s="17">
        <v>200</v>
      </c>
      <c r="Q50" s="17">
        <v>200</v>
      </c>
      <c r="R50" s="17">
        <v>200</v>
      </c>
      <c r="S50" s="17">
        <v>200</v>
      </c>
      <c r="T50" s="17">
        <v>200</v>
      </c>
      <c r="U50" s="17" t="s">
        <v>51</v>
      </c>
      <c r="V50" s="17" t="s">
        <v>51</v>
      </c>
      <c r="W50" s="17" t="s">
        <v>51</v>
      </c>
      <c r="X50" s="17" t="s">
        <v>51</v>
      </c>
      <c r="AA50" s="45">
        <f>COUNTIFS('2a Enter data - Est. Volumes'!$B$9:$B$28,'Lists - Hidden'!$C50,'2a Enter data - Est. Volumes'!$D$9:$D$28,'Lists - Hidden'!AA$32)</f>
        <v>0</v>
      </c>
      <c r="AB50" s="45">
        <f>COUNTIFS('2a Enter data - Est. Volumes'!$B$9:$B$28,'Lists - Hidden'!$C50,'2a Enter data - Est. Volumes'!$D$9:$D$28,'Lists - Hidden'!AB$32)</f>
        <v>0</v>
      </c>
      <c r="AC50" s="45">
        <f>COUNTIFS('2a Enter data - Est. Volumes'!$B$9:$B$28,'Lists - Hidden'!$C50,'2a Enter data - Est. Volumes'!$D$9:$D$28,'Lists - Hidden'!AC$32)</f>
        <v>0</v>
      </c>
      <c r="AD50" s="45">
        <f>COUNTIFS('2a Enter data - Est. Volumes'!$B$9:$B$28,'Lists - Hidden'!$C50,'2a Enter data - Est. Volumes'!$D$9:$D$28,'Lists - Hidden'!AD$32)</f>
        <v>0</v>
      </c>
    </row>
    <row r="51" spans="1:38" x14ac:dyDescent="0.35">
      <c r="B51" s="412"/>
      <c r="C51" s="53" t="s">
        <v>138</v>
      </c>
      <c r="D51" s="73" t="s">
        <v>168</v>
      </c>
      <c r="E51" s="53" t="s">
        <v>12</v>
      </c>
      <c r="F51" s="17">
        <v>200</v>
      </c>
      <c r="G51" s="17">
        <v>200</v>
      </c>
      <c r="H51" s="17">
        <v>200</v>
      </c>
      <c r="I51" s="17">
        <v>200</v>
      </c>
      <c r="J51" s="17">
        <v>200</v>
      </c>
      <c r="K51" s="17">
        <v>200</v>
      </c>
      <c r="L51" s="17">
        <v>200</v>
      </c>
      <c r="M51" s="17">
        <v>200</v>
      </c>
      <c r="N51" s="17">
        <v>200</v>
      </c>
      <c r="O51" s="17">
        <v>200</v>
      </c>
      <c r="P51" s="17">
        <v>200</v>
      </c>
      <c r="Q51" s="17">
        <v>200</v>
      </c>
      <c r="R51" s="17">
        <v>200</v>
      </c>
      <c r="S51" s="17">
        <v>200</v>
      </c>
      <c r="T51" s="17">
        <v>200</v>
      </c>
      <c r="U51" s="17" t="s">
        <v>51</v>
      </c>
      <c r="V51" s="17" t="s">
        <v>51</v>
      </c>
      <c r="W51" s="17" t="s">
        <v>51</v>
      </c>
      <c r="X51" s="17" t="s">
        <v>51</v>
      </c>
      <c r="AA51" s="45">
        <f>COUNTIFS('2a Enter data - Est. Volumes'!$B$9:$B$28,'Lists - Hidden'!$C51,'2a Enter data - Est. Volumes'!$D$9:$D$28,'Lists - Hidden'!AA$32)</f>
        <v>0</v>
      </c>
      <c r="AB51" s="45">
        <f>COUNTIFS('2a Enter data - Est. Volumes'!$B$9:$B$28,'Lists - Hidden'!$C51,'2a Enter data - Est. Volumes'!$D$9:$D$28,'Lists - Hidden'!AB$32)</f>
        <v>0</v>
      </c>
      <c r="AC51" s="45">
        <f>COUNTIFS('2a Enter data - Est. Volumes'!$B$9:$B$28,'Lists - Hidden'!$C51,'2a Enter data - Est. Volumes'!$D$9:$D$28,'Lists - Hidden'!AC$32)</f>
        <v>0</v>
      </c>
      <c r="AD51" s="45">
        <f>COUNTIFS('2a Enter data - Est. Volumes'!$B$9:$B$28,'Lists - Hidden'!$C51,'2a Enter data - Est. Volumes'!$D$9:$D$28,'Lists - Hidden'!AD$32)</f>
        <v>0</v>
      </c>
    </row>
    <row r="52" spans="1:38" x14ac:dyDescent="0.35">
      <c r="B52" s="412"/>
      <c r="C52" s="53" t="s">
        <v>144</v>
      </c>
      <c r="D52" s="74" t="s">
        <v>169</v>
      </c>
      <c r="E52" s="53" t="s">
        <v>12</v>
      </c>
      <c r="F52" s="17">
        <v>20</v>
      </c>
      <c r="G52" s="17">
        <v>20</v>
      </c>
      <c r="H52" s="17">
        <v>20</v>
      </c>
      <c r="I52" s="17">
        <v>20</v>
      </c>
      <c r="J52" s="17">
        <v>20</v>
      </c>
      <c r="K52" s="17">
        <v>20</v>
      </c>
      <c r="L52" s="17">
        <v>20</v>
      </c>
      <c r="M52" s="17">
        <v>20</v>
      </c>
      <c r="N52" s="17">
        <v>20</v>
      </c>
      <c r="O52" s="17">
        <v>20</v>
      </c>
      <c r="P52" s="17">
        <v>20</v>
      </c>
      <c r="Q52" s="17">
        <v>20</v>
      </c>
      <c r="R52" s="17">
        <v>20</v>
      </c>
      <c r="S52" s="17">
        <v>20</v>
      </c>
      <c r="T52" s="17">
        <v>20</v>
      </c>
      <c r="U52" s="17" t="s">
        <v>51</v>
      </c>
      <c r="V52" s="17" t="s">
        <v>51</v>
      </c>
      <c r="W52" s="17" t="s">
        <v>51</v>
      </c>
      <c r="X52" s="17" t="s">
        <v>51</v>
      </c>
      <c r="AA52" s="45">
        <f>COUNTIFS('2a Enter data - Est. Volumes'!$B$9:$B$28,'Lists - Hidden'!$C52,'2a Enter data - Est. Volumes'!$D$9:$D$28,'Lists - Hidden'!AA$32)</f>
        <v>0</v>
      </c>
      <c r="AB52" s="45">
        <f>COUNTIFS('2a Enter data - Est. Volumes'!$B$9:$B$28,'Lists - Hidden'!$C52,'2a Enter data - Est. Volumes'!$D$9:$D$28,'Lists - Hidden'!AB$32)</f>
        <v>0</v>
      </c>
      <c r="AC52" s="45">
        <f>COUNTIFS('2a Enter data - Est. Volumes'!$B$9:$B$28,'Lists - Hidden'!$C52,'2a Enter data - Est. Volumes'!$D$9:$D$28,'Lists - Hidden'!AC$32)</f>
        <v>0</v>
      </c>
      <c r="AD52" s="45">
        <f>COUNTIFS('2a Enter data - Est. Volumes'!$B$9:$B$28,'Lists - Hidden'!$C52,'2a Enter data - Est. Volumes'!$D$9:$D$28,'Lists - Hidden'!AD$32)</f>
        <v>0</v>
      </c>
    </row>
    <row r="53" spans="1:38" x14ac:dyDescent="0.35">
      <c r="B53" s="412"/>
      <c r="C53" s="53" t="s">
        <v>145</v>
      </c>
      <c r="D53" s="74" t="s">
        <v>170</v>
      </c>
      <c r="E53" s="53" t="s">
        <v>54</v>
      </c>
      <c r="F53" s="17">
        <v>20</v>
      </c>
      <c r="G53" s="17">
        <v>20</v>
      </c>
      <c r="H53" s="17">
        <v>20</v>
      </c>
      <c r="I53" s="17">
        <v>20</v>
      </c>
      <c r="J53" s="17">
        <v>20</v>
      </c>
      <c r="K53" s="17">
        <v>20</v>
      </c>
      <c r="L53" s="17">
        <v>20</v>
      </c>
      <c r="M53" s="17">
        <v>20</v>
      </c>
      <c r="N53" s="17">
        <v>20</v>
      </c>
      <c r="O53" s="17">
        <v>20</v>
      </c>
      <c r="P53" s="17">
        <v>20</v>
      </c>
      <c r="Q53" s="17">
        <v>20</v>
      </c>
      <c r="R53" s="17">
        <v>20</v>
      </c>
      <c r="S53" s="17">
        <v>20</v>
      </c>
      <c r="T53" s="17">
        <v>20</v>
      </c>
      <c r="U53" s="17" t="s">
        <v>51</v>
      </c>
      <c r="V53" s="17" t="s">
        <v>51</v>
      </c>
      <c r="W53" s="17" t="s">
        <v>51</v>
      </c>
      <c r="X53" s="17" t="s">
        <v>51</v>
      </c>
      <c r="AA53" s="45">
        <f>COUNTIFS('2a Enter data - Est. Volumes'!$B$9:$B$28,'Lists - Hidden'!$C53,'2a Enter data - Est. Volumes'!$D$9:$D$28,'Lists - Hidden'!AA$32)</f>
        <v>0</v>
      </c>
      <c r="AB53" s="45">
        <f>COUNTIFS('2a Enter data - Est. Volumes'!$B$9:$B$28,'Lists - Hidden'!$C53,'2a Enter data - Est. Volumes'!$D$9:$D$28,'Lists - Hidden'!AB$32)</f>
        <v>0</v>
      </c>
      <c r="AC53" s="45">
        <f>COUNTIFS('2a Enter data - Est. Volumes'!$B$9:$B$28,'Lists - Hidden'!$C53,'2a Enter data - Est. Volumes'!$D$9:$D$28,'Lists - Hidden'!AC$32)</f>
        <v>0</v>
      </c>
      <c r="AD53" s="45">
        <f>COUNTIFS('2a Enter data - Est. Volumes'!$B$9:$B$28,'Lists - Hidden'!$C53,'2a Enter data - Est. Volumes'!$D$9:$D$28,'Lists - Hidden'!AD$32)</f>
        <v>0</v>
      </c>
    </row>
    <row r="54" spans="1:38" x14ac:dyDescent="0.35">
      <c r="B54" s="412"/>
      <c r="C54" s="43" t="str">
        <f>IF(G54=0,"",'2a Enter data - Est. Volumes'!B34)</f>
        <v/>
      </c>
      <c r="D54" s="73" t="s">
        <v>171</v>
      </c>
      <c r="E54" s="43" t="str">
        <f>IF(H54=0,"",'2a Enter data - Est. Volumes'!E34)</f>
        <v/>
      </c>
      <c r="F54" s="17">
        <f>'2a Enter data - Est. Volumes'!$D34</f>
        <v>0</v>
      </c>
      <c r="G54" s="17">
        <f>'2a Enter data - Est. Volumes'!$D34</f>
        <v>0</v>
      </c>
      <c r="H54" s="17">
        <f>'2a Enter data - Est. Volumes'!$D34</f>
        <v>0</v>
      </c>
      <c r="I54" s="17">
        <f>'2a Enter data - Est. Volumes'!$D34</f>
        <v>0</v>
      </c>
      <c r="J54" s="17">
        <f>'2a Enter data - Est. Volumes'!$D34</f>
        <v>0</v>
      </c>
      <c r="K54" s="17">
        <f>'2a Enter data - Est. Volumes'!$D34</f>
        <v>0</v>
      </c>
      <c r="L54" s="17">
        <f>'2a Enter data - Est. Volumes'!$D34</f>
        <v>0</v>
      </c>
      <c r="M54" s="17">
        <f>'2a Enter data - Est. Volumes'!$D34</f>
        <v>0</v>
      </c>
      <c r="N54" s="17">
        <f>'2a Enter data - Est. Volumes'!$D34</f>
        <v>0</v>
      </c>
      <c r="O54" s="17">
        <f>'2a Enter data - Est. Volumes'!$D34</f>
        <v>0</v>
      </c>
      <c r="P54" s="17">
        <f>'2a Enter data - Est. Volumes'!$D34</f>
        <v>0</v>
      </c>
      <c r="Q54" s="17">
        <f>'2a Enter data - Est. Volumes'!$D34</f>
        <v>0</v>
      </c>
      <c r="R54" s="17">
        <f>'2a Enter data - Est. Volumes'!$D34</f>
        <v>0</v>
      </c>
      <c r="S54" s="17">
        <f>'2a Enter data - Est. Volumes'!$D34</f>
        <v>0</v>
      </c>
      <c r="T54" s="17">
        <f>'2a Enter data - Est. Volumes'!$D34</f>
        <v>0</v>
      </c>
      <c r="U54" s="17">
        <f>'2a Enter data - Est. Volumes'!$D34</f>
        <v>0</v>
      </c>
      <c r="V54" s="17">
        <f>'2a Enter data - Est. Volumes'!$D34</f>
        <v>0</v>
      </c>
      <c r="W54" s="17">
        <f>'2a Enter data - Est. Volumes'!$D34</f>
        <v>0</v>
      </c>
      <c r="X54" s="17">
        <f>'2a Enter data - Est. Volumes'!$D34</f>
        <v>0</v>
      </c>
      <c r="AA54" s="45">
        <f>COUNTIFS('2a Enter data - Est. Volumes'!$B$9:$B$28,'Lists - Hidden'!$C54,'2a Enter data - Est. Volumes'!$D$9:$D$28,'Lists - Hidden'!AA$32)</f>
        <v>0</v>
      </c>
      <c r="AB54" s="45">
        <f>COUNTIFS('2a Enter data - Est. Volumes'!$B$9:$B$28,'Lists - Hidden'!$C54,'2a Enter data - Est. Volumes'!$D$9:$D$28,'Lists - Hidden'!AB$32)</f>
        <v>0</v>
      </c>
      <c r="AC54" s="45">
        <f>COUNTIFS('2a Enter data - Est. Volumes'!$B$9:$B$28,'Lists - Hidden'!$C54,'2a Enter data - Est. Volumes'!$D$9:$D$28,'Lists - Hidden'!AC$32)</f>
        <v>0</v>
      </c>
      <c r="AD54" s="45">
        <f>COUNTIFS('2a Enter data - Est. Volumes'!$B$9:$B$28,'Lists - Hidden'!$C54,'2a Enter data - Est. Volumes'!$D$9:$D$28,'Lists - Hidden'!AD$32)</f>
        <v>0</v>
      </c>
    </row>
    <row r="55" spans="1:38" x14ac:dyDescent="0.35">
      <c r="B55" s="412"/>
      <c r="C55" s="43" t="str">
        <f>IF(G55=0,"",'2a Enter data - Est. Volumes'!B35)</f>
        <v/>
      </c>
      <c r="D55" s="74" t="s">
        <v>172</v>
      </c>
      <c r="E55" s="43" t="str">
        <f>IF(H55=0,"",'2a Enter data - Est. Volumes'!E35)</f>
        <v/>
      </c>
      <c r="F55" s="17">
        <f>'2a Enter data - Est. Volumes'!$D35</f>
        <v>0</v>
      </c>
      <c r="G55" s="17">
        <f>'2a Enter data - Est. Volumes'!$D35</f>
        <v>0</v>
      </c>
      <c r="H55" s="17">
        <f>'2a Enter data - Est. Volumes'!$D35</f>
        <v>0</v>
      </c>
      <c r="I55" s="17">
        <f>'2a Enter data - Est. Volumes'!$D35</f>
        <v>0</v>
      </c>
      <c r="J55" s="17">
        <f>'2a Enter data - Est. Volumes'!$D35</f>
        <v>0</v>
      </c>
      <c r="K55" s="17">
        <f>'2a Enter data - Est. Volumes'!$D35</f>
        <v>0</v>
      </c>
      <c r="L55" s="17">
        <f>'2a Enter data - Est. Volumes'!$D35</f>
        <v>0</v>
      </c>
      <c r="M55" s="17">
        <f>'2a Enter data - Est. Volumes'!$D35</f>
        <v>0</v>
      </c>
      <c r="N55" s="17">
        <f>'2a Enter data - Est. Volumes'!$D35</f>
        <v>0</v>
      </c>
      <c r="O55" s="17">
        <f>'2a Enter data - Est. Volumes'!$D35</f>
        <v>0</v>
      </c>
      <c r="P55" s="17">
        <f>'2a Enter data - Est. Volumes'!$D35</f>
        <v>0</v>
      </c>
      <c r="Q55" s="17">
        <f>'2a Enter data - Est. Volumes'!$D35</f>
        <v>0</v>
      </c>
      <c r="R55" s="17">
        <f>'2a Enter data - Est. Volumes'!$D35</f>
        <v>0</v>
      </c>
      <c r="S55" s="17">
        <f>'2a Enter data - Est. Volumes'!$D35</f>
        <v>0</v>
      </c>
      <c r="T55" s="17">
        <f>'2a Enter data - Est. Volumes'!$D35</f>
        <v>0</v>
      </c>
      <c r="U55" s="17">
        <f>'2a Enter data - Est. Volumes'!$D35</f>
        <v>0</v>
      </c>
      <c r="V55" s="17">
        <f>'2a Enter data - Est. Volumes'!$D35</f>
        <v>0</v>
      </c>
      <c r="W55" s="17">
        <f>'2a Enter data - Est. Volumes'!$D35</f>
        <v>0</v>
      </c>
      <c r="X55" s="17">
        <f>'2a Enter data - Est. Volumes'!$D35</f>
        <v>0</v>
      </c>
      <c r="AA55" s="45">
        <f>COUNTIFS('2a Enter data - Est. Volumes'!$B$9:$B$28,'Lists - Hidden'!$C55,'2a Enter data - Est. Volumes'!$D$9:$D$28,'Lists - Hidden'!AA$32)</f>
        <v>0</v>
      </c>
      <c r="AB55" s="45">
        <f>COUNTIFS('2a Enter data - Est. Volumes'!$B$9:$B$28,'Lists - Hidden'!$C55,'2a Enter data - Est. Volumes'!$D$9:$D$28,'Lists - Hidden'!AB$32)</f>
        <v>0</v>
      </c>
      <c r="AC55" s="45">
        <f>COUNTIFS('2a Enter data - Est. Volumes'!$B$9:$B$28,'Lists - Hidden'!$C55,'2a Enter data - Est. Volumes'!$D$9:$D$28,'Lists - Hidden'!AC$32)</f>
        <v>0</v>
      </c>
      <c r="AD55" s="45">
        <f>COUNTIFS('2a Enter data - Est. Volumes'!$B$9:$B$28,'Lists - Hidden'!$C55,'2a Enter data - Est. Volumes'!$D$9:$D$28,'Lists - Hidden'!AD$32)</f>
        <v>0</v>
      </c>
    </row>
    <row r="56" spans="1:38" x14ac:dyDescent="0.35">
      <c r="B56" s="412"/>
      <c r="C56" s="43" t="str">
        <f>IF(G56=0,"",'2a Enter data - Est. Volumes'!B36)</f>
        <v/>
      </c>
      <c r="D56" s="74" t="s">
        <v>173</v>
      </c>
      <c r="E56" s="43" t="str">
        <f>IF(H56=0,"",'2a Enter data - Est. Volumes'!E36)</f>
        <v/>
      </c>
      <c r="F56" s="17">
        <f>'2a Enter data - Est. Volumes'!$D36</f>
        <v>0</v>
      </c>
      <c r="G56" s="17">
        <f>'2a Enter data - Est. Volumes'!$D36</f>
        <v>0</v>
      </c>
      <c r="H56" s="17">
        <f>'2a Enter data - Est. Volumes'!$D36</f>
        <v>0</v>
      </c>
      <c r="I56" s="17">
        <f>'2a Enter data - Est. Volumes'!$D36</f>
        <v>0</v>
      </c>
      <c r="J56" s="17">
        <f>'2a Enter data - Est. Volumes'!$D36</f>
        <v>0</v>
      </c>
      <c r="K56" s="17">
        <f>'2a Enter data - Est. Volumes'!$D36</f>
        <v>0</v>
      </c>
      <c r="L56" s="17">
        <f>'2a Enter data - Est. Volumes'!$D36</f>
        <v>0</v>
      </c>
      <c r="M56" s="17">
        <f>'2a Enter data - Est. Volumes'!$D36</f>
        <v>0</v>
      </c>
      <c r="N56" s="17">
        <f>'2a Enter data - Est. Volumes'!$D36</f>
        <v>0</v>
      </c>
      <c r="O56" s="17">
        <f>'2a Enter data - Est. Volumes'!$D36</f>
        <v>0</v>
      </c>
      <c r="P56" s="17">
        <f>'2a Enter data - Est. Volumes'!$D36</f>
        <v>0</v>
      </c>
      <c r="Q56" s="17">
        <f>'2a Enter data - Est. Volumes'!$D36</f>
        <v>0</v>
      </c>
      <c r="R56" s="17">
        <f>'2a Enter data - Est. Volumes'!$D36</f>
        <v>0</v>
      </c>
      <c r="S56" s="17">
        <f>'2a Enter data - Est. Volumes'!$D36</f>
        <v>0</v>
      </c>
      <c r="T56" s="17">
        <f>'2a Enter data - Est. Volumes'!$D36</f>
        <v>0</v>
      </c>
      <c r="U56" s="17">
        <f>'2a Enter data - Est. Volumes'!$D36</f>
        <v>0</v>
      </c>
      <c r="V56" s="17">
        <f>'2a Enter data - Est. Volumes'!$D36</f>
        <v>0</v>
      </c>
      <c r="W56" s="17">
        <f>'2a Enter data - Est. Volumes'!$D36</f>
        <v>0</v>
      </c>
      <c r="X56" s="17">
        <f>'2a Enter data - Est. Volumes'!$D36</f>
        <v>0</v>
      </c>
      <c r="AA56" s="45">
        <f>COUNTIFS('2a Enter data - Est. Volumes'!$B$9:$B$28,'Lists - Hidden'!$C56,'2a Enter data - Est. Volumes'!$D$9:$D$28,'Lists - Hidden'!AA$32)</f>
        <v>0</v>
      </c>
      <c r="AB56" s="45">
        <f>COUNTIFS('2a Enter data - Est. Volumes'!$B$9:$B$28,'Lists - Hidden'!$C56,'2a Enter data - Est. Volumes'!$D$9:$D$28,'Lists - Hidden'!AB$32)</f>
        <v>0</v>
      </c>
      <c r="AC56" s="45">
        <f>COUNTIFS('2a Enter data - Est. Volumes'!$B$9:$B$28,'Lists - Hidden'!$C56,'2a Enter data - Est. Volumes'!$D$9:$D$28,'Lists - Hidden'!AC$32)</f>
        <v>0</v>
      </c>
      <c r="AD56" s="45">
        <f>COUNTIFS('2a Enter data - Est. Volumes'!$B$9:$B$28,'Lists - Hidden'!$C56,'2a Enter data - Est. Volumes'!$D$9:$D$28,'Lists - Hidden'!AD$32)</f>
        <v>0</v>
      </c>
    </row>
    <row r="57" spans="1:38" x14ac:dyDescent="0.35">
      <c r="B57" s="412"/>
      <c r="C57" s="43" t="str">
        <f>IF(G57=0,"",'2a Enter data - Est. Volumes'!B37)</f>
        <v/>
      </c>
      <c r="D57" s="73" t="s">
        <v>174</v>
      </c>
      <c r="E57" s="43" t="str">
        <f>IF(H57=0,"",'2a Enter data - Est. Volumes'!E37)</f>
        <v/>
      </c>
      <c r="F57" s="17">
        <f>'2a Enter data - Est. Volumes'!$D37</f>
        <v>0</v>
      </c>
      <c r="G57" s="17">
        <f>'2a Enter data - Est. Volumes'!$D37</f>
        <v>0</v>
      </c>
      <c r="H57" s="17">
        <f>'2a Enter data - Est. Volumes'!$D37</f>
        <v>0</v>
      </c>
      <c r="I57" s="17">
        <f>'2a Enter data - Est. Volumes'!$D37</f>
        <v>0</v>
      </c>
      <c r="J57" s="17">
        <f>'2a Enter data - Est. Volumes'!$D37</f>
        <v>0</v>
      </c>
      <c r="K57" s="17">
        <f>'2a Enter data - Est. Volumes'!$D37</f>
        <v>0</v>
      </c>
      <c r="L57" s="17">
        <f>'2a Enter data - Est. Volumes'!$D37</f>
        <v>0</v>
      </c>
      <c r="M57" s="17">
        <f>'2a Enter data - Est. Volumes'!$D37</f>
        <v>0</v>
      </c>
      <c r="N57" s="17">
        <f>'2a Enter data - Est. Volumes'!$D37</f>
        <v>0</v>
      </c>
      <c r="O57" s="17">
        <f>'2a Enter data - Est. Volumes'!$D37</f>
        <v>0</v>
      </c>
      <c r="P57" s="17">
        <f>'2a Enter data - Est. Volumes'!$D37</f>
        <v>0</v>
      </c>
      <c r="Q57" s="17">
        <f>'2a Enter data - Est. Volumes'!$D37</f>
        <v>0</v>
      </c>
      <c r="R57" s="17">
        <f>'2a Enter data - Est. Volumes'!$D37</f>
        <v>0</v>
      </c>
      <c r="S57" s="17">
        <f>'2a Enter data - Est. Volumes'!$D37</f>
        <v>0</v>
      </c>
      <c r="T57" s="17">
        <f>'2a Enter data - Est. Volumes'!$D37</f>
        <v>0</v>
      </c>
      <c r="U57" s="17">
        <f>'2a Enter data - Est. Volumes'!$D37</f>
        <v>0</v>
      </c>
      <c r="V57" s="17">
        <f>'2a Enter data - Est. Volumes'!$D37</f>
        <v>0</v>
      </c>
      <c r="W57" s="17">
        <f>'2a Enter data - Est. Volumes'!$D37</f>
        <v>0</v>
      </c>
      <c r="X57" s="17">
        <f>'2a Enter data - Est. Volumes'!$D37</f>
        <v>0</v>
      </c>
      <c r="AA57" s="45">
        <f>COUNTIFS('2a Enter data - Est. Volumes'!$B$9:$B$28,'Lists - Hidden'!$C57,'2a Enter data - Est. Volumes'!$D$9:$D$28,'Lists - Hidden'!AA$32)</f>
        <v>0</v>
      </c>
      <c r="AB57" s="45">
        <f>COUNTIFS('2a Enter data - Est. Volumes'!$B$9:$B$28,'Lists - Hidden'!$C57,'2a Enter data - Est. Volumes'!$D$9:$D$28,'Lists - Hidden'!AB$32)</f>
        <v>0</v>
      </c>
      <c r="AC57" s="45">
        <f>COUNTIFS('2a Enter data - Est. Volumes'!$B$9:$B$28,'Lists - Hidden'!$C57,'2a Enter data - Est. Volumes'!$D$9:$D$28,'Lists - Hidden'!AC$32)</f>
        <v>0</v>
      </c>
      <c r="AD57" s="45">
        <f>COUNTIFS('2a Enter data - Est. Volumes'!$B$9:$B$28,'Lists - Hidden'!$C57,'2a Enter data - Est. Volumes'!$D$9:$D$28,'Lists - Hidden'!AD$32)</f>
        <v>0</v>
      </c>
    </row>
    <row r="58" spans="1:38" x14ac:dyDescent="0.35">
      <c r="B58" s="412"/>
      <c r="C58" s="43" t="str">
        <f>IF(G58=0,"",'2a Enter data - Est. Volumes'!B38)</f>
        <v/>
      </c>
      <c r="D58" s="74" t="s">
        <v>175</v>
      </c>
      <c r="E58" s="43" t="str">
        <f>IF(H58=0,"",'2a Enter data - Est. Volumes'!E38)</f>
        <v/>
      </c>
      <c r="F58" s="17">
        <f>'2a Enter data - Est. Volumes'!$D38</f>
        <v>0</v>
      </c>
      <c r="G58" s="17">
        <f>'2a Enter data - Est. Volumes'!$D38</f>
        <v>0</v>
      </c>
      <c r="H58" s="17">
        <f>'2a Enter data - Est. Volumes'!$D38</f>
        <v>0</v>
      </c>
      <c r="I58" s="17">
        <f>'2a Enter data - Est. Volumes'!$D38</f>
        <v>0</v>
      </c>
      <c r="J58" s="17">
        <f>'2a Enter data - Est. Volumes'!$D38</f>
        <v>0</v>
      </c>
      <c r="K58" s="17">
        <f>'2a Enter data - Est. Volumes'!$D38</f>
        <v>0</v>
      </c>
      <c r="L58" s="17">
        <f>'2a Enter data - Est. Volumes'!$D38</f>
        <v>0</v>
      </c>
      <c r="M58" s="17">
        <f>'2a Enter data - Est. Volumes'!$D38</f>
        <v>0</v>
      </c>
      <c r="N58" s="17">
        <f>'2a Enter data - Est. Volumes'!$D38</f>
        <v>0</v>
      </c>
      <c r="O58" s="17">
        <f>'2a Enter data - Est. Volumes'!$D38</f>
        <v>0</v>
      </c>
      <c r="P58" s="17">
        <f>'2a Enter data - Est. Volumes'!$D38</f>
        <v>0</v>
      </c>
      <c r="Q58" s="17">
        <f>'2a Enter data - Est. Volumes'!$D38</f>
        <v>0</v>
      </c>
      <c r="R58" s="17">
        <f>'2a Enter data - Est. Volumes'!$D38</f>
        <v>0</v>
      </c>
      <c r="S58" s="17">
        <f>'2a Enter data - Est. Volumes'!$D38</f>
        <v>0</v>
      </c>
      <c r="T58" s="17">
        <f>'2a Enter data - Est. Volumes'!$D38</f>
        <v>0</v>
      </c>
      <c r="U58" s="17">
        <f>'2a Enter data - Est. Volumes'!$D38</f>
        <v>0</v>
      </c>
      <c r="V58" s="17">
        <f>'2a Enter data - Est. Volumes'!$D38</f>
        <v>0</v>
      </c>
      <c r="W58" s="17">
        <f>'2a Enter data - Est. Volumes'!$D38</f>
        <v>0</v>
      </c>
      <c r="X58" s="17">
        <f>'2a Enter data - Est. Volumes'!$D38</f>
        <v>0</v>
      </c>
      <c r="AA58" s="45">
        <f>COUNTIFS('2a Enter data - Est. Volumes'!$B$9:$B$28,'Lists - Hidden'!$C58,'2a Enter data - Est. Volumes'!$D$9:$D$28,'Lists - Hidden'!AA$32)</f>
        <v>0</v>
      </c>
      <c r="AB58" s="45">
        <f>COUNTIFS('2a Enter data - Est. Volumes'!$B$9:$B$28,'Lists - Hidden'!$C58,'2a Enter data - Est. Volumes'!$D$9:$D$28,'Lists - Hidden'!AB$32)</f>
        <v>0</v>
      </c>
      <c r="AC58" s="45">
        <f>COUNTIFS('2a Enter data - Est. Volumes'!$B$9:$B$28,'Lists - Hidden'!$C58,'2a Enter data - Est. Volumes'!$D$9:$D$28,'Lists - Hidden'!AC$32)</f>
        <v>0</v>
      </c>
      <c r="AD58" s="45">
        <f>COUNTIFS('2a Enter data - Est. Volumes'!$B$9:$B$28,'Lists - Hidden'!$C58,'2a Enter data - Est. Volumes'!$D$9:$D$28,'Lists - Hidden'!AD$32)</f>
        <v>0</v>
      </c>
    </row>
    <row r="60" spans="1:38" ht="16" x14ac:dyDescent="0.35">
      <c r="B60" s="22" t="s">
        <v>147</v>
      </c>
      <c r="M60" s="44"/>
    </row>
    <row r="61" spans="1:38" x14ac:dyDescent="0.35">
      <c r="M61" s="44"/>
    </row>
    <row r="62" spans="1:38" s="71" customFormat="1" ht="112" x14ac:dyDescent="0.35">
      <c r="A62" s="20"/>
      <c r="B62" s="72" t="s">
        <v>134</v>
      </c>
      <c r="C62" s="72" t="s">
        <v>135</v>
      </c>
      <c r="D62" s="72" t="s">
        <v>206</v>
      </c>
      <c r="E62" s="72" t="s">
        <v>96</v>
      </c>
      <c r="F62" s="72" t="s">
        <v>153</v>
      </c>
      <c r="G62" s="72" t="s">
        <v>204</v>
      </c>
      <c r="H62" s="72" t="s">
        <v>130</v>
      </c>
      <c r="I62" s="72" t="s">
        <v>139</v>
      </c>
      <c r="J62" s="72" t="s">
        <v>140</v>
      </c>
      <c r="K62" s="72" t="s">
        <v>136</v>
      </c>
      <c r="L62" s="72" t="s">
        <v>127</v>
      </c>
      <c r="M62" s="72" t="s">
        <v>141</v>
      </c>
      <c r="N62" s="72" t="s">
        <v>133</v>
      </c>
      <c r="O62" s="72" t="s">
        <v>132</v>
      </c>
      <c r="P62" s="72" t="s">
        <v>201</v>
      </c>
      <c r="Q62" s="72" t="s">
        <v>207</v>
      </c>
      <c r="R62" s="72" t="s">
        <v>167</v>
      </c>
      <c r="S62" s="72" t="s">
        <v>138</v>
      </c>
      <c r="T62" s="72" t="s">
        <v>144</v>
      </c>
      <c r="U62" s="72" t="s">
        <v>145</v>
      </c>
      <c r="V62" s="43" t="str">
        <f>IF(G54=0,"",'2a Enter data - Est. Volumes'!B34)</f>
        <v/>
      </c>
      <c r="W62" s="43" t="str">
        <f>IF(G55=0,"",'2a Enter data - Est. Volumes'!B35)</f>
        <v/>
      </c>
      <c r="X62" s="43" t="str">
        <f>IF(G56=0,"",'2a Enter data - Est. Volumes'!B36)</f>
        <v/>
      </c>
      <c r="Y62" s="43" t="str">
        <f>IF(G57=0,"",'2a Enter data - Est. Volumes'!B37)</f>
        <v/>
      </c>
      <c r="Z62" s="43" t="str">
        <f>IF(G58=0,"",'2a Enter data - Est. Volumes'!B38)</f>
        <v/>
      </c>
      <c r="AA62" s="20"/>
      <c r="AB62" s="20"/>
      <c r="AC62" s="20"/>
      <c r="AD62" s="20"/>
      <c r="AE62" s="20"/>
      <c r="AF62" s="20"/>
      <c r="AG62" s="20"/>
      <c r="AH62" s="20"/>
      <c r="AI62" s="20"/>
      <c r="AJ62" s="20"/>
      <c r="AK62" s="20"/>
      <c r="AL62" s="20"/>
    </row>
    <row r="63" spans="1:38" s="71" customFormat="1" ht="30" x14ac:dyDescent="0.35">
      <c r="A63" s="20"/>
      <c r="B63" s="75" t="s">
        <v>154</v>
      </c>
      <c r="C63" s="75" t="s">
        <v>135</v>
      </c>
      <c r="D63" s="75" t="s">
        <v>202</v>
      </c>
      <c r="E63" s="75" t="s">
        <v>156</v>
      </c>
      <c r="F63" s="75" t="s">
        <v>155</v>
      </c>
      <c r="G63" s="75" t="s">
        <v>205</v>
      </c>
      <c r="H63" s="75" t="s">
        <v>157</v>
      </c>
      <c r="I63" s="75" t="s">
        <v>158</v>
      </c>
      <c r="J63" s="75" t="s">
        <v>159</v>
      </c>
      <c r="K63" s="75" t="s">
        <v>160</v>
      </c>
      <c r="L63" s="75" t="s">
        <v>161</v>
      </c>
      <c r="M63" s="75" t="s">
        <v>162</v>
      </c>
      <c r="N63" s="75" t="s">
        <v>163</v>
      </c>
      <c r="O63" s="75" t="s">
        <v>164</v>
      </c>
      <c r="P63" s="75" t="s">
        <v>165</v>
      </c>
      <c r="Q63" s="75" t="s">
        <v>166</v>
      </c>
      <c r="R63" s="75" t="s">
        <v>167</v>
      </c>
      <c r="S63" s="75" t="s">
        <v>168</v>
      </c>
      <c r="T63" s="75" t="s">
        <v>169</v>
      </c>
      <c r="U63" s="75" t="s">
        <v>170</v>
      </c>
      <c r="V63" s="76" t="s">
        <v>171</v>
      </c>
      <c r="W63" s="76" t="s">
        <v>172</v>
      </c>
      <c r="X63" s="76" t="s">
        <v>173</v>
      </c>
      <c r="Y63" s="76" t="s">
        <v>174</v>
      </c>
      <c r="Z63" s="76" t="s">
        <v>175</v>
      </c>
      <c r="AA63" s="20"/>
      <c r="AB63" s="20"/>
      <c r="AC63" s="20"/>
      <c r="AD63" s="20"/>
      <c r="AE63" s="20"/>
      <c r="AF63" s="20"/>
      <c r="AG63" s="20"/>
      <c r="AH63" s="20"/>
      <c r="AI63" s="20"/>
      <c r="AJ63" s="20"/>
      <c r="AK63" s="20"/>
      <c r="AL63" s="20"/>
    </row>
    <row r="64" spans="1:38" s="71" customFormat="1" ht="16" x14ac:dyDescent="0.35">
      <c r="A64" s="20"/>
      <c r="B64" s="75"/>
      <c r="C64" s="75"/>
      <c r="D64" s="75"/>
      <c r="E64" s="75"/>
      <c r="F64" s="75"/>
      <c r="G64" s="75"/>
      <c r="H64" s="75"/>
      <c r="I64" s="75"/>
      <c r="J64" s="75"/>
      <c r="K64" s="75"/>
      <c r="L64" s="75"/>
      <c r="M64" s="75"/>
      <c r="N64" s="75"/>
      <c r="O64" s="75"/>
      <c r="P64" s="75"/>
      <c r="Q64" s="75"/>
      <c r="R64" s="75"/>
      <c r="S64" s="75"/>
      <c r="T64" s="75"/>
      <c r="U64" s="75"/>
      <c r="V64" s="75"/>
      <c r="W64" s="75"/>
      <c r="X64" s="75"/>
      <c r="Y64" s="75"/>
      <c r="Z64" s="75"/>
    </row>
    <row r="65" spans="2:38" ht="13.5" customHeight="1" x14ac:dyDescent="0.35">
      <c r="B65" s="20" t="s">
        <v>198</v>
      </c>
      <c r="C65" s="20" t="s">
        <v>198</v>
      </c>
      <c r="D65" s="20" t="s">
        <v>4</v>
      </c>
      <c r="E65" s="20" t="s">
        <v>4</v>
      </c>
      <c r="F65" s="20" t="s">
        <v>4</v>
      </c>
      <c r="G65" s="20" t="s">
        <v>4</v>
      </c>
      <c r="H65" s="20" t="s">
        <v>4</v>
      </c>
      <c r="I65" s="20" t="s">
        <v>198</v>
      </c>
      <c r="J65" s="20" t="s">
        <v>198</v>
      </c>
      <c r="K65" s="20" t="s">
        <v>198</v>
      </c>
      <c r="L65" s="20" t="s">
        <v>4</v>
      </c>
      <c r="M65" s="20" t="s">
        <v>237</v>
      </c>
      <c r="N65" s="20" t="s">
        <v>237</v>
      </c>
      <c r="O65" s="20" t="s">
        <v>237</v>
      </c>
      <c r="P65" s="20" t="s">
        <v>4</v>
      </c>
      <c r="Q65" s="20" t="s">
        <v>4</v>
      </c>
      <c r="R65" s="20" t="s">
        <v>4</v>
      </c>
      <c r="S65" s="20" t="s">
        <v>198</v>
      </c>
      <c r="T65" s="20" t="s">
        <v>4</v>
      </c>
      <c r="U65" s="20" t="s">
        <v>4</v>
      </c>
      <c r="V65" s="20" t="s">
        <v>198</v>
      </c>
      <c r="W65" s="20" t="s">
        <v>198</v>
      </c>
      <c r="X65" s="20" t="s">
        <v>198</v>
      </c>
      <c r="Y65" s="20" t="s">
        <v>198</v>
      </c>
      <c r="Z65" s="20" t="s">
        <v>198</v>
      </c>
      <c r="AA65" s="71"/>
      <c r="AB65" s="71"/>
      <c r="AC65" s="71"/>
      <c r="AD65" s="71"/>
      <c r="AE65" s="71"/>
      <c r="AF65" s="71"/>
      <c r="AG65" s="71"/>
      <c r="AH65" s="71"/>
      <c r="AI65" s="71"/>
      <c r="AJ65" s="71"/>
      <c r="AK65" s="71"/>
      <c r="AL65" s="71"/>
    </row>
    <row r="66" spans="2:38" ht="16" x14ac:dyDescent="0.35">
      <c r="B66" s="20" t="s">
        <v>35</v>
      </c>
      <c r="C66" s="20" t="s">
        <v>35</v>
      </c>
      <c r="D66" s="20" t="s">
        <v>5</v>
      </c>
      <c r="E66" s="20" t="s">
        <v>5</v>
      </c>
      <c r="F66" s="20" t="s">
        <v>5</v>
      </c>
      <c r="G66" s="20" t="s">
        <v>5</v>
      </c>
      <c r="H66" s="20" t="s">
        <v>5</v>
      </c>
      <c r="I66" s="24" t="s">
        <v>35</v>
      </c>
      <c r="J66" s="24" t="s">
        <v>35</v>
      </c>
      <c r="K66" s="20" t="s">
        <v>35</v>
      </c>
      <c r="L66" s="20" t="s">
        <v>5</v>
      </c>
      <c r="M66" s="20" t="s">
        <v>244</v>
      </c>
      <c r="N66" s="20" t="s">
        <v>244</v>
      </c>
      <c r="O66" s="20" t="s">
        <v>244</v>
      </c>
      <c r="P66" s="20" t="s">
        <v>5</v>
      </c>
      <c r="Q66" s="20" t="s">
        <v>5</v>
      </c>
      <c r="R66" s="20" t="s">
        <v>5</v>
      </c>
      <c r="S66" s="20" t="s">
        <v>35</v>
      </c>
      <c r="T66" s="20" t="s">
        <v>5</v>
      </c>
      <c r="U66" s="20" t="s">
        <v>5</v>
      </c>
      <c r="V66" s="20" t="s">
        <v>35</v>
      </c>
      <c r="W66" s="20" t="s">
        <v>35</v>
      </c>
      <c r="X66" s="20" t="s">
        <v>35</v>
      </c>
      <c r="Y66" s="20" t="s">
        <v>35</v>
      </c>
      <c r="Z66" s="20" t="s">
        <v>35</v>
      </c>
      <c r="AA66" s="71"/>
      <c r="AB66" s="71"/>
      <c r="AC66" s="71"/>
      <c r="AD66" s="71"/>
      <c r="AE66" s="71"/>
      <c r="AF66" s="71"/>
      <c r="AG66" s="71"/>
      <c r="AH66" s="71"/>
      <c r="AI66" s="71"/>
      <c r="AJ66" s="71"/>
      <c r="AK66" s="71"/>
      <c r="AL66" s="71"/>
    </row>
    <row r="67" spans="2:38" x14ac:dyDescent="0.35">
      <c r="B67" s="20" t="s">
        <v>21</v>
      </c>
      <c r="D67" s="20" t="s">
        <v>6</v>
      </c>
      <c r="E67" s="20" t="s">
        <v>6</v>
      </c>
      <c r="F67" s="20" t="s">
        <v>6</v>
      </c>
      <c r="G67" s="20" t="s">
        <v>6</v>
      </c>
      <c r="H67" s="20" t="s">
        <v>6</v>
      </c>
      <c r="I67" s="24" t="s">
        <v>21</v>
      </c>
      <c r="J67" s="24" t="s">
        <v>21</v>
      </c>
      <c r="K67" s="20" t="s">
        <v>21</v>
      </c>
      <c r="L67" s="20" t="s">
        <v>6</v>
      </c>
      <c r="M67" s="20" t="s">
        <v>243</v>
      </c>
      <c r="N67" s="20" t="s">
        <v>243</v>
      </c>
      <c r="O67" s="20" t="s">
        <v>243</v>
      </c>
      <c r="P67" s="20" t="s">
        <v>6</v>
      </c>
      <c r="Q67" s="20" t="s">
        <v>6</v>
      </c>
      <c r="R67" s="20" t="s">
        <v>6</v>
      </c>
      <c r="S67" s="20" t="s">
        <v>21</v>
      </c>
      <c r="T67" s="20" t="s">
        <v>6</v>
      </c>
      <c r="U67" s="20" t="s">
        <v>6</v>
      </c>
      <c r="V67" s="20" t="s">
        <v>21</v>
      </c>
      <c r="W67" s="20" t="s">
        <v>21</v>
      </c>
      <c r="X67" s="20" t="s">
        <v>21</v>
      </c>
      <c r="Y67" s="20" t="s">
        <v>21</v>
      </c>
      <c r="Z67" s="20" t="s">
        <v>21</v>
      </c>
    </row>
    <row r="68" spans="2:38" x14ac:dyDescent="0.35">
      <c r="B68" s="20" t="s">
        <v>4</v>
      </c>
      <c r="D68" s="20" t="s">
        <v>7</v>
      </c>
      <c r="E68" s="20" t="s">
        <v>7</v>
      </c>
      <c r="F68" s="20" t="s">
        <v>7</v>
      </c>
      <c r="G68" s="20"/>
      <c r="H68" s="20" t="s">
        <v>7</v>
      </c>
      <c r="I68" s="24" t="s">
        <v>4</v>
      </c>
      <c r="J68" s="24" t="s">
        <v>4</v>
      </c>
      <c r="K68" s="20" t="s">
        <v>4</v>
      </c>
      <c r="L68" s="20" t="s">
        <v>7</v>
      </c>
      <c r="M68" s="20" t="s">
        <v>245</v>
      </c>
      <c r="N68" s="20" t="s">
        <v>245</v>
      </c>
      <c r="O68" s="20" t="s">
        <v>245</v>
      </c>
      <c r="P68" s="20" t="s">
        <v>7</v>
      </c>
      <c r="Q68" s="20" t="s">
        <v>7</v>
      </c>
      <c r="S68" s="20" t="s">
        <v>4</v>
      </c>
      <c r="T68" s="20" t="s">
        <v>7</v>
      </c>
      <c r="U68" s="20" t="s">
        <v>7</v>
      </c>
      <c r="V68" s="20" t="s">
        <v>4</v>
      </c>
      <c r="W68" s="20" t="s">
        <v>4</v>
      </c>
      <c r="X68" s="20" t="s">
        <v>4</v>
      </c>
      <c r="Y68" s="20" t="s">
        <v>4</v>
      </c>
      <c r="Z68" s="20" t="s">
        <v>4</v>
      </c>
    </row>
    <row r="69" spans="2:38" x14ac:dyDescent="0.35">
      <c r="B69" s="20" t="s">
        <v>5</v>
      </c>
      <c r="D69" s="20" t="s">
        <v>18</v>
      </c>
      <c r="E69" s="20" t="s">
        <v>18</v>
      </c>
      <c r="F69" s="20" t="s">
        <v>18</v>
      </c>
      <c r="G69" s="20"/>
      <c r="H69" s="20" t="s">
        <v>18</v>
      </c>
      <c r="I69" s="24" t="s">
        <v>5</v>
      </c>
      <c r="J69" s="24" t="s">
        <v>5</v>
      </c>
      <c r="K69" s="20" t="s">
        <v>5</v>
      </c>
      <c r="L69" s="20" t="s">
        <v>18</v>
      </c>
      <c r="M69" s="20" t="s">
        <v>246</v>
      </c>
      <c r="N69" s="20" t="s">
        <v>246</v>
      </c>
      <c r="O69" s="20" t="s">
        <v>246</v>
      </c>
      <c r="P69" s="20" t="s">
        <v>18</v>
      </c>
      <c r="Q69" s="20" t="s">
        <v>18</v>
      </c>
      <c r="T69" s="20" t="s">
        <v>18</v>
      </c>
      <c r="U69" s="20" t="s">
        <v>18</v>
      </c>
      <c r="V69" s="20" t="s">
        <v>5</v>
      </c>
      <c r="W69" s="20" t="s">
        <v>5</v>
      </c>
      <c r="X69" s="20" t="s">
        <v>5</v>
      </c>
      <c r="Y69" s="20" t="s">
        <v>5</v>
      </c>
      <c r="Z69" s="20" t="s">
        <v>5</v>
      </c>
    </row>
    <row r="70" spans="2:38" x14ac:dyDescent="0.35">
      <c r="B70" s="20" t="s">
        <v>6</v>
      </c>
      <c r="D70" s="20" t="s">
        <v>19</v>
      </c>
      <c r="E70" s="20" t="s">
        <v>19</v>
      </c>
      <c r="F70" s="20" t="s">
        <v>19</v>
      </c>
      <c r="G70" s="20"/>
      <c r="H70" s="20" t="s">
        <v>19</v>
      </c>
      <c r="I70" s="24" t="s">
        <v>6</v>
      </c>
      <c r="J70" s="24" t="s">
        <v>6</v>
      </c>
      <c r="K70" s="20" t="s">
        <v>6</v>
      </c>
      <c r="L70" s="20" t="s">
        <v>19</v>
      </c>
      <c r="M70" s="20" t="s">
        <v>20</v>
      </c>
      <c r="N70" s="20" t="s">
        <v>20</v>
      </c>
      <c r="O70" s="20" t="s">
        <v>20</v>
      </c>
      <c r="P70" s="20" t="s">
        <v>240</v>
      </c>
      <c r="Q70" s="20" t="s">
        <v>19</v>
      </c>
      <c r="T70" s="20" t="s">
        <v>19</v>
      </c>
      <c r="U70" s="20" t="s">
        <v>19</v>
      </c>
      <c r="V70" s="20" t="s">
        <v>6</v>
      </c>
      <c r="W70" s="20" t="s">
        <v>6</v>
      </c>
      <c r="X70" s="20" t="s">
        <v>6</v>
      </c>
      <c r="Y70" s="20" t="s">
        <v>6</v>
      </c>
      <c r="Z70" s="20" t="s">
        <v>6</v>
      </c>
    </row>
    <row r="71" spans="2:38" x14ac:dyDescent="0.35">
      <c r="D71" s="20" t="s">
        <v>237</v>
      </c>
      <c r="E71" s="20" t="s">
        <v>237</v>
      </c>
      <c r="F71" s="20" t="s">
        <v>237</v>
      </c>
      <c r="G71" s="20"/>
      <c r="H71" s="20" t="s">
        <v>237</v>
      </c>
      <c r="I71" s="24" t="s">
        <v>7</v>
      </c>
      <c r="J71" s="24" t="s">
        <v>7</v>
      </c>
      <c r="L71" s="20" t="s">
        <v>237</v>
      </c>
      <c r="P71" s="20" t="s">
        <v>239</v>
      </c>
      <c r="Q71" s="20" t="s">
        <v>237</v>
      </c>
      <c r="T71" s="20" t="s">
        <v>237</v>
      </c>
      <c r="U71" s="20" t="s">
        <v>237</v>
      </c>
      <c r="V71" s="20" t="s">
        <v>7</v>
      </c>
      <c r="W71" s="20" t="s">
        <v>7</v>
      </c>
      <c r="X71" s="20" t="s">
        <v>7</v>
      </c>
      <c r="Y71" s="20" t="s">
        <v>7</v>
      </c>
      <c r="Z71" s="20" t="s">
        <v>7</v>
      </c>
    </row>
    <row r="72" spans="2:38" x14ac:dyDescent="0.35">
      <c r="D72" s="20" t="s">
        <v>244</v>
      </c>
      <c r="E72" s="20" t="s">
        <v>244</v>
      </c>
      <c r="F72" s="20" t="s">
        <v>244</v>
      </c>
      <c r="G72" s="20"/>
      <c r="H72" s="20" t="s">
        <v>244</v>
      </c>
      <c r="I72" s="24" t="s">
        <v>18</v>
      </c>
      <c r="J72" s="24" t="s">
        <v>18</v>
      </c>
      <c r="L72" s="20" t="s">
        <v>244</v>
      </c>
      <c r="P72" s="20" t="s">
        <v>238</v>
      </c>
      <c r="Q72" s="20" t="s">
        <v>242</v>
      </c>
      <c r="T72" s="20" t="s">
        <v>244</v>
      </c>
      <c r="U72" s="20" t="s">
        <v>244</v>
      </c>
      <c r="V72" s="20" t="s">
        <v>18</v>
      </c>
      <c r="W72" s="20" t="s">
        <v>18</v>
      </c>
      <c r="X72" s="20" t="s">
        <v>18</v>
      </c>
      <c r="Y72" s="20" t="s">
        <v>18</v>
      </c>
      <c r="Z72" s="20" t="s">
        <v>18</v>
      </c>
    </row>
    <row r="73" spans="2:38" x14ac:dyDescent="0.35">
      <c r="D73" s="20" t="s">
        <v>243</v>
      </c>
      <c r="E73" s="20" t="s">
        <v>243</v>
      </c>
      <c r="F73" s="20" t="s">
        <v>243</v>
      </c>
      <c r="G73" s="20"/>
      <c r="H73" s="20" t="s">
        <v>243</v>
      </c>
      <c r="I73" s="24" t="s">
        <v>19</v>
      </c>
      <c r="J73" s="24" t="s">
        <v>19</v>
      </c>
      <c r="L73" s="20" t="s">
        <v>243</v>
      </c>
      <c r="P73" s="20" t="s">
        <v>241</v>
      </c>
      <c r="Q73" s="20" t="s">
        <v>243</v>
      </c>
      <c r="T73" s="20" t="s">
        <v>243</v>
      </c>
      <c r="U73" s="20" t="s">
        <v>243</v>
      </c>
      <c r="V73" s="20" t="s">
        <v>19</v>
      </c>
      <c r="W73" s="20" t="s">
        <v>19</v>
      </c>
      <c r="X73" s="20" t="s">
        <v>19</v>
      </c>
      <c r="Y73" s="20" t="s">
        <v>19</v>
      </c>
      <c r="Z73" s="20" t="s">
        <v>19</v>
      </c>
    </row>
    <row r="74" spans="2:38" x14ac:dyDescent="0.35">
      <c r="D74" s="20" t="s">
        <v>240</v>
      </c>
      <c r="E74" s="20" t="s">
        <v>240</v>
      </c>
      <c r="F74" s="20" t="s">
        <v>240</v>
      </c>
      <c r="G74" s="20"/>
      <c r="H74" s="20" t="s">
        <v>240</v>
      </c>
      <c r="I74" s="24" t="s">
        <v>20</v>
      </c>
      <c r="J74" s="24" t="s">
        <v>148</v>
      </c>
      <c r="L74" s="20" t="s">
        <v>240</v>
      </c>
      <c r="Q74" s="20" t="s">
        <v>240</v>
      </c>
      <c r="V74" s="20" t="s">
        <v>237</v>
      </c>
      <c r="W74" s="20" t="s">
        <v>237</v>
      </c>
      <c r="X74" s="20" t="s">
        <v>237</v>
      </c>
      <c r="Y74" s="20" t="s">
        <v>237</v>
      </c>
      <c r="Z74" s="20" t="s">
        <v>237</v>
      </c>
    </row>
    <row r="75" spans="2:38" x14ac:dyDescent="0.35">
      <c r="D75" s="20" t="s">
        <v>239</v>
      </c>
      <c r="E75" s="20" t="s">
        <v>239</v>
      </c>
      <c r="F75" s="20" t="s">
        <v>239</v>
      </c>
      <c r="G75" s="20"/>
      <c r="H75" s="20" t="s">
        <v>239</v>
      </c>
      <c r="I75" s="24"/>
      <c r="J75" s="24"/>
      <c r="L75" s="20" t="s">
        <v>239</v>
      </c>
      <c r="Q75" s="20" t="s">
        <v>239</v>
      </c>
      <c r="V75" s="20" t="s">
        <v>244</v>
      </c>
      <c r="W75" s="20" t="s">
        <v>244</v>
      </c>
      <c r="X75" s="20" t="s">
        <v>244</v>
      </c>
      <c r="Y75" s="20" t="s">
        <v>244</v>
      </c>
      <c r="Z75" s="20" t="s">
        <v>244</v>
      </c>
    </row>
    <row r="76" spans="2:38" x14ac:dyDescent="0.35">
      <c r="D76" s="20" t="s">
        <v>238</v>
      </c>
      <c r="E76" s="20" t="s">
        <v>238</v>
      </c>
      <c r="F76" s="20" t="s">
        <v>238</v>
      </c>
      <c r="G76" s="20"/>
      <c r="H76" s="20" t="s">
        <v>238</v>
      </c>
      <c r="I76" s="24"/>
      <c r="J76" s="24"/>
      <c r="L76" s="20" t="s">
        <v>238</v>
      </c>
      <c r="Q76" s="20" t="s">
        <v>238</v>
      </c>
      <c r="V76" s="20" t="s">
        <v>243</v>
      </c>
      <c r="W76" s="20" t="s">
        <v>243</v>
      </c>
      <c r="X76" s="20" t="s">
        <v>243</v>
      </c>
      <c r="Y76" s="20" t="s">
        <v>243</v>
      </c>
      <c r="Z76" s="20" t="s">
        <v>243</v>
      </c>
    </row>
    <row r="77" spans="2:38" x14ac:dyDescent="0.35">
      <c r="D77" s="20" t="s">
        <v>241</v>
      </c>
      <c r="E77" s="20" t="s">
        <v>241</v>
      </c>
      <c r="F77" s="20" t="s">
        <v>241</v>
      </c>
      <c r="G77" s="20"/>
      <c r="H77" s="20" t="s">
        <v>241</v>
      </c>
      <c r="I77" s="24"/>
      <c r="J77" s="24"/>
      <c r="L77" s="20" t="s">
        <v>241</v>
      </c>
      <c r="Q77" s="20" t="s">
        <v>241</v>
      </c>
      <c r="V77" s="20" t="s">
        <v>245</v>
      </c>
      <c r="W77" s="20" t="s">
        <v>245</v>
      </c>
      <c r="X77" s="20" t="s">
        <v>245</v>
      </c>
      <c r="Y77" s="20" t="s">
        <v>245</v>
      </c>
      <c r="Z77" s="20" t="s">
        <v>245</v>
      </c>
    </row>
    <row r="78" spans="2:38" x14ac:dyDescent="0.35">
      <c r="F78" s="20"/>
      <c r="G78" s="20"/>
      <c r="I78" s="24"/>
      <c r="J78" s="24"/>
      <c r="V78" s="20" t="s">
        <v>246</v>
      </c>
      <c r="W78" s="20" t="s">
        <v>246</v>
      </c>
      <c r="X78" s="20" t="s">
        <v>246</v>
      </c>
      <c r="Y78" s="20" t="s">
        <v>246</v>
      </c>
      <c r="Z78" s="20" t="s">
        <v>246</v>
      </c>
    </row>
    <row r="79" spans="2:38" x14ac:dyDescent="0.35">
      <c r="F79" s="20"/>
      <c r="G79" s="20"/>
      <c r="I79" s="24"/>
      <c r="J79" s="24"/>
      <c r="V79" s="20" t="s">
        <v>20</v>
      </c>
      <c r="W79" s="20" t="s">
        <v>148</v>
      </c>
      <c r="X79" s="20" t="s">
        <v>149</v>
      </c>
      <c r="Y79" s="20" t="s">
        <v>150</v>
      </c>
      <c r="Z79" s="20" t="s">
        <v>151</v>
      </c>
    </row>
    <row r="80" spans="2:38" x14ac:dyDescent="0.35">
      <c r="F80" s="20"/>
      <c r="G80" s="20"/>
      <c r="I80" s="24"/>
      <c r="J80" s="24"/>
      <c r="V80" s="20" t="s">
        <v>240</v>
      </c>
      <c r="W80" s="20" t="s">
        <v>240</v>
      </c>
      <c r="X80" s="20" t="s">
        <v>240</v>
      </c>
      <c r="Y80" s="20" t="s">
        <v>240</v>
      </c>
      <c r="Z80" s="20" t="s">
        <v>240</v>
      </c>
    </row>
    <row r="81" spans="6:26" x14ac:dyDescent="0.35">
      <c r="F81" s="20"/>
      <c r="G81" s="20"/>
      <c r="I81" s="24"/>
      <c r="J81" s="24"/>
      <c r="V81" s="20" t="s">
        <v>239</v>
      </c>
      <c r="W81" s="20" t="s">
        <v>239</v>
      </c>
      <c r="X81" s="20" t="s">
        <v>239</v>
      </c>
      <c r="Y81" s="20" t="s">
        <v>239</v>
      </c>
      <c r="Z81" s="20" t="s">
        <v>239</v>
      </c>
    </row>
    <row r="82" spans="6:26" x14ac:dyDescent="0.35">
      <c r="F82" s="20"/>
      <c r="G82" s="20"/>
      <c r="I82" s="24"/>
      <c r="J82" s="24"/>
      <c r="V82" s="20" t="s">
        <v>238</v>
      </c>
      <c r="W82" s="20" t="s">
        <v>238</v>
      </c>
      <c r="X82" s="20" t="s">
        <v>238</v>
      </c>
      <c r="Y82" s="20" t="s">
        <v>238</v>
      </c>
      <c r="Z82" s="20" t="s">
        <v>238</v>
      </c>
    </row>
    <row r="83" spans="6:26" x14ac:dyDescent="0.35">
      <c r="F83" s="20"/>
      <c r="G83" s="20"/>
      <c r="I83" s="24"/>
      <c r="J83" s="24"/>
      <c r="V83" s="20" t="s">
        <v>241</v>
      </c>
      <c r="W83" s="20" t="s">
        <v>241</v>
      </c>
      <c r="X83" s="20" t="s">
        <v>241</v>
      </c>
      <c r="Y83" s="20" t="s">
        <v>241</v>
      </c>
      <c r="Z83" s="20" t="s">
        <v>241</v>
      </c>
    </row>
    <row r="84" spans="6:26" x14ac:dyDescent="0.35">
      <c r="F84" s="20"/>
      <c r="G84" s="20"/>
      <c r="H84" s="24"/>
      <c r="I84" s="24"/>
    </row>
    <row r="85" spans="6:26" x14ac:dyDescent="0.35">
      <c r="F85" s="20"/>
      <c r="G85" s="20"/>
      <c r="H85" s="24"/>
      <c r="I85" s="24"/>
    </row>
    <row r="88" spans="6:26" ht="16" x14ac:dyDescent="0.35">
      <c r="J88" s="22"/>
      <c r="K88" s="22"/>
      <c r="L88" s="22"/>
      <c r="V88" s="52"/>
    </row>
    <row r="98" spans="10:12" ht="16" x14ac:dyDescent="0.35">
      <c r="J98" s="22"/>
      <c r="K98" s="22"/>
      <c r="L98" s="22"/>
    </row>
  </sheetData>
  <sheetProtection selectLockedCells="1"/>
  <sortState xmlns:xlrd2="http://schemas.microsoft.com/office/spreadsheetml/2017/richdata2" ref="C35:X52">
    <sortCondition ref="C34:C52"/>
  </sortState>
  <mergeCells count="5">
    <mergeCell ref="H30:X30"/>
    <mergeCell ref="C30:C32"/>
    <mergeCell ref="C29:W29"/>
    <mergeCell ref="E30:E32"/>
    <mergeCell ref="B34:B58"/>
  </mergeCells>
  <phoneticPr fontId="16" type="noConversion"/>
  <conditionalFormatting sqref="C34:X58">
    <cfRule type="notContainsBlanks" dxfId="11" priority="1">
      <formula>LEN(TRIM(C34))&gt;0</formula>
    </cfRule>
  </conditionalFormatting>
  <conditionalFormatting sqref="V62:Z63">
    <cfRule type="notContainsBlanks" dxfId="10" priority="5">
      <formula>LEN(TRIM(V62))&gt;0</formula>
    </cfRule>
  </conditionalFormatting>
  <pageMargins left="0.7" right="0.7" top="0.75" bottom="0.75" header="0.3" footer="0.3"/>
  <pageSetup paperSize="9" orientation="portrait" horizontalDpi="4294967295" verticalDpi="4294967295" r:id="rId1"/>
  <ignoredErrors>
    <ignoredError sqref="G54:X58 C54:C58 E54:E58" unlockedFormula="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E022C-2A38-438B-9974-3711FF750F83}">
  <dimension ref="B2:J82"/>
  <sheetViews>
    <sheetView zoomScaleNormal="100" workbookViewId="0">
      <selection activeCell="E31" sqref="E31"/>
    </sheetView>
  </sheetViews>
  <sheetFormatPr defaultColWidth="9.1796875" defaultRowHeight="15" x14ac:dyDescent="0.35"/>
  <cols>
    <col min="1" max="1" width="4.36328125" style="20" customWidth="1"/>
    <col min="2" max="2" width="60.1796875" style="20" bestFit="1" customWidth="1"/>
    <col min="3" max="4" width="20.36328125" style="20" customWidth="1"/>
    <col min="5" max="5" width="17.1796875" style="20" customWidth="1"/>
    <col min="6" max="10" width="20.36328125" style="20" customWidth="1"/>
    <col min="11" max="16384" width="9.1796875" style="20"/>
  </cols>
  <sheetData>
    <row r="2" spans="2:10" ht="22.5" x14ac:dyDescent="0.35">
      <c r="B2" s="240" t="s">
        <v>295</v>
      </c>
    </row>
    <row r="4" spans="2:10" ht="17.5" x14ac:dyDescent="0.35">
      <c r="B4" s="169"/>
      <c r="C4" s="270" t="s">
        <v>298</v>
      </c>
      <c r="D4" s="270"/>
      <c r="E4" s="281"/>
      <c r="F4" s="244" t="s">
        <v>299</v>
      </c>
      <c r="G4" s="244"/>
      <c r="H4" s="244"/>
      <c r="I4" s="244"/>
      <c r="J4" s="244"/>
    </row>
    <row r="5" spans="2:10" ht="50.5" customHeight="1" x14ac:dyDescent="0.35">
      <c r="B5" s="243" t="s">
        <v>43</v>
      </c>
      <c r="C5" s="268" t="s">
        <v>116</v>
      </c>
      <c r="D5" s="268" t="s">
        <v>118</v>
      </c>
      <c r="E5" s="282"/>
      <c r="F5" s="291" t="s">
        <v>292</v>
      </c>
      <c r="G5" s="291"/>
      <c r="H5" s="269" t="s">
        <v>291</v>
      </c>
      <c r="I5" s="269"/>
      <c r="J5" s="269"/>
    </row>
    <row r="6" spans="2:10" ht="23.5" customHeight="1" x14ac:dyDescent="0.35">
      <c r="B6" s="267" t="s">
        <v>257</v>
      </c>
      <c r="C6" s="186"/>
      <c r="D6" s="186"/>
      <c r="E6" s="283"/>
      <c r="F6" s="277" t="s">
        <v>299</v>
      </c>
      <c r="G6" s="277" t="s">
        <v>301</v>
      </c>
      <c r="H6" s="277" t="s">
        <v>299</v>
      </c>
      <c r="I6" s="277" t="s">
        <v>301</v>
      </c>
      <c r="J6" s="285" t="s">
        <v>10</v>
      </c>
    </row>
    <row r="7" spans="2:10" x14ac:dyDescent="0.35">
      <c r="B7" s="276">
        <f>'2a Enter data - Est. Volumes'!B9</f>
        <v>0</v>
      </c>
      <c r="C7" s="141" t="str">
        <f>'2a Enter data - Est. Volumes'!N9</f>
        <v/>
      </c>
      <c r="D7" s="141" t="str">
        <f>'2a Enter data - Est. Volumes'!O9</f>
        <v/>
      </c>
      <c r="E7" s="284"/>
      <c r="F7" s="278" t="str">
        <f>IF('2a Enter data - Est. Volumes'!$E9='Lists - Hidden'!$E$16,SUM('2a Enter data - Est. Volumes'!$Q9,'2a Enter data - Est. Volumes'!$T9),"")</f>
        <v/>
      </c>
      <c r="G7" s="278" t="str">
        <f>IF('2a Enter data - Est. Volumes'!$E9='Lists - Hidden'!$E$16,-'2a Enter data - Est. Volumes'!$W9,"")</f>
        <v/>
      </c>
      <c r="H7" s="278" t="str">
        <f>IFERROR(IF('2a Enter data - Est. Volumes'!$E9='Lists - Hidden'!$E$17,SUM('2a Enter data - Est. Volumes'!$Q9,'2a Enter data - Est. Volumes'!$T9),F7*'1 Review details'!$D$16),"")</f>
        <v/>
      </c>
      <c r="I7" s="278" t="str">
        <f>IFERROR(IF('2a Enter data - Est. Volumes'!$E9='Lists - Hidden'!$E$17,-'2a Enter data - Est. Volumes'!$W9,G7*'1 Review details'!$D$16),"")</f>
        <v/>
      </c>
      <c r="J7" s="144">
        <f t="shared" ref="J7" si="0">SUM(H7:I7)</f>
        <v>0</v>
      </c>
    </row>
    <row r="8" spans="2:10" x14ac:dyDescent="0.35">
      <c r="B8" s="276">
        <f>'2a Enter data - Est. Volumes'!B10</f>
        <v>0</v>
      </c>
      <c r="C8" s="141" t="str">
        <f>'2a Enter data - Est. Volumes'!N10</f>
        <v/>
      </c>
      <c r="D8" s="141" t="str">
        <f>'2a Enter data - Est. Volumes'!O10</f>
        <v/>
      </c>
      <c r="E8" s="284"/>
      <c r="F8" s="278" t="str">
        <f>IF('2a Enter data - Est. Volumes'!$E10='Lists - Hidden'!$E$16,SUM('2a Enter data - Est. Volumes'!$Q10,'2a Enter data - Est. Volumes'!$T10),"")</f>
        <v/>
      </c>
      <c r="G8" s="278" t="str">
        <f>IF('2a Enter data - Est. Volumes'!$E10='Lists - Hidden'!$E$16,-'2a Enter data - Est. Volumes'!$W10,"")</f>
        <v/>
      </c>
      <c r="H8" s="278" t="str">
        <f>IFERROR(IF('2a Enter data - Est. Volumes'!$E10='Lists - Hidden'!$E$17,SUM('2a Enter data - Est. Volumes'!$Q10,'2a Enter data - Est. Volumes'!$T10),F8*'1 Review details'!$D$16),"")</f>
        <v/>
      </c>
      <c r="I8" s="278" t="str">
        <f>IFERROR(IF('2a Enter data - Est. Volumes'!$E10='Lists - Hidden'!$E$17,-'2a Enter data - Est. Volumes'!$W10,G8*'1 Review details'!$D$16),"")</f>
        <v/>
      </c>
      <c r="J8" s="144">
        <f t="shared" ref="J8:J26" si="1">SUM(H8:I8)</f>
        <v>0</v>
      </c>
    </row>
    <row r="9" spans="2:10" x14ac:dyDescent="0.35">
      <c r="B9" s="276">
        <f>'2a Enter data - Est. Volumes'!B11</f>
        <v>0</v>
      </c>
      <c r="C9" s="141" t="str">
        <f>'2a Enter data - Est. Volumes'!N11</f>
        <v/>
      </c>
      <c r="D9" s="141" t="str">
        <f>'2a Enter data - Est. Volumes'!O11</f>
        <v/>
      </c>
      <c r="E9" s="284"/>
      <c r="F9" s="278" t="str">
        <f>IF('2a Enter data - Est. Volumes'!$E11='Lists - Hidden'!$E$16,SUM('2a Enter data - Est. Volumes'!$Q11,'2a Enter data - Est. Volumes'!$T11),"")</f>
        <v/>
      </c>
      <c r="G9" s="278" t="str">
        <f>IF('2a Enter data - Est. Volumes'!$E11='Lists - Hidden'!$E$16,-'2a Enter data - Est. Volumes'!$W11,"")</f>
        <v/>
      </c>
      <c r="H9" s="278" t="str">
        <f>IFERROR(IF('2a Enter data - Est. Volumes'!$E11='Lists - Hidden'!$E$17,SUM('2a Enter data - Est. Volumes'!$Q11,'2a Enter data - Est. Volumes'!$T11),F9*'1 Review details'!$D$16),"")</f>
        <v/>
      </c>
      <c r="I9" s="278" t="str">
        <f>IFERROR(IF('2a Enter data - Est. Volumes'!$E11='Lists - Hidden'!$E$17,-'2a Enter data - Est. Volumes'!$W11,G9*'1 Review details'!$D$16),"")</f>
        <v/>
      </c>
      <c r="J9" s="144">
        <f t="shared" si="1"/>
        <v>0</v>
      </c>
    </row>
    <row r="10" spans="2:10" x14ac:dyDescent="0.35">
      <c r="B10" s="276">
        <f>'2a Enter data - Est. Volumes'!B12</f>
        <v>0</v>
      </c>
      <c r="C10" s="141" t="str">
        <f>'2a Enter data - Est. Volumes'!N12</f>
        <v/>
      </c>
      <c r="D10" s="141" t="str">
        <f>'2a Enter data - Est. Volumes'!O12</f>
        <v/>
      </c>
      <c r="E10" s="284"/>
      <c r="F10" s="278" t="str">
        <f>IF('2a Enter data - Est. Volumes'!$E12='Lists - Hidden'!$E$16,SUM('2a Enter data - Est. Volumes'!$Q12,'2a Enter data - Est. Volumes'!$T12),"")</f>
        <v/>
      </c>
      <c r="G10" s="278" t="str">
        <f>IF('2a Enter data - Est. Volumes'!$E12='Lists - Hidden'!$E$16,-'2a Enter data - Est. Volumes'!$W12,"")</f>
        <v/>
      </c>
      <c r="H10" s="278" t="str">
        <f>IFERROR(IF('2a Enter data - Est. Volumes'!$E12='Lists - Hidden'!$E$17,SUM('2a Enter data - Est. Volumes'!$Q12,'2a Enter data - Est. Volumes'!$T12),F10*'1 Review details'!$D$16),"")</f>
        <v/>
      </c>
      <c r="I10" s="278" t="str">
        <f>IFERROR(IF('2a Enter data - Est. Volumes'!$E12='Lists - Hidden'!$E$17,-'2a Enter data - Est. Volumes'!$W12,G10*'1 Review details'!$D$16),"")</f>
        <v/>
      </c>
      <c r="J10" s="144">
        <f t="shared" si="1"/>
        <v>0</v>
      </c>
    </row>
    <row r="11" spans="2:10" x14ac:dyDescent="0.35">
      <c r="B11" s="276">
        <f>'2a Enter data - Est. Volumes'!B13</f>
        <v>0</v>
      </c>
      <c r="C11" s="141" t="str">
        <f>'2a Enter data - Est. Volumes'!N13</f>
        <v/>
      </c>
      <c r="D11" s="141" t="str">
        <f>'2a Enter data - Est. Volumes'!O13</f>
        <v/>
      </c>
      <c r="E11" s="284"/>
      <c r="F11" s="278" t="str">
        <f>IF('2a Enter data - Est. Volumes'!$E13='Lists - Hidden'!$E$16,SUM('2a Enter data - Est. Volumes'!$Q13,'2a Enter data - Est. Volumes'!$T13),"")</f>
        <v/>
      </c>
      <c r="G11" s="278" t="str">
        <f>IF('2a Enter data - Est. Volumes'!$E13='Lists - Hidden'!$E$16,-'2a Enter data - Est. Volumes'!$W13,"")</f>
        <v/>
      </c>
      <c r="H11" s="278" t="str">
        <f>IFERROR(IF('2a Enter data - Est. Volumes'!$E13='Lists - Hidden'!$E$17,SUM('2a Enter data - Est. Volumes'!$Q13,'2a Enter data - Est. Volumes'!$T13),F11*'1 Review details'!$D$16),"")</f>
        <v/>
      </c>
      <c r="I11" s="278" t="str">
        <f>IFERROR(IF('2a Enter data - Est. Volumes'!$E13='Lists - Hidden'!$E$17,-'2a Enter data - Est. Volumes'!$W13,G11*'1 Review details'!$D$16),"")</f>
        <v/>
      </c>
      <c r="J11" s="144">
        <f t="shared" si="1"/>
        <v>0</v>
      </c>
    </row>
    <row r="12" spans="2:10" x14ac:dyDescent="0.35">
      <c r="B12" s="276">
        <f>'2a Enter data - Est. Volumes'!B14</f>
        <v>0</v>
      </c>
      <c r="C12" s="141" t="str">
        <f>'2a Enter data - Est. Volumes'!N14</f>
        <v/>
      </c>
      <c r="D12" s="141" t="str">
        <f>'2a Enter data - Est. Volumes'!O14</f>
        <v/>
      </c>
      <c r="E12" s="284"/>
      <c r="F12" s="278" t="str">
        <f>IF('2a Enter data - Est. Volumes'!$E14='Lists - Hidden'!$E$16,SUM('2a Enter data - Est. Volumes'!$Q14,'2a Enter data - Est. Volumes'!$T14),"")</f>
        <v/>
      </c>
      <c r="G12" s="278" t="str">
        <f>IF('2a Enter data - Est. Volumes'!$E14='Lists - Hidden'!$E$16,-'2a Enter data - Est. Volumes'!$W14,"")</f>
        <v/>
      </c>
      <c r="H12" s="278" t="str">
        <f>IFERROR(IF('2a Enter data - Est. Volumes'!$E14='Lists - Hidden'!$E$17,SUM('2a Enter data - Est. Volumes'!$Q14,'2a Enter data - Est. Volumes'!$T14),F12*'1 Review details'!$D$16),"")</f>
        <v/>
      </c>
      <c r="I12" s="278" t="str">
        <f>IFERROR(IF('2a Enter data - Est. Volumes'!$E14='Lists - Hidden'!$E$17,-'2a Enter data - Est. Volumes'!$W14,G12*'1 Review details'!$D$16),"")</f>
        <v/>
      </c>
      <c r="J12" s="144">
        <f t="shared" si="1"/>
        <v>0</v>
      </c>
    </row>
    <row r="13" spans="2:10" x14ac:dyDescent="0.35">
      <c r="B13" s="276">
        <f>'2a Enter data - Est. Volumes'!B15</f>
        <v>0</v>
      </c>
      <c r="C13" s="141" t="str">
        <f>'2a Enter data - Est. Volumes'!N15</f>
        <v/>
      </c>
      <c r="D13" s="141" t="str">
        <f>'2a Enter data - Est. Volumes'!O15</f>
        <v/>
      </c>
      <c r="E13" s="284"/>
      <c r="F13" s="278" t="str">
        <f>IF('2a Enter data - Est. Volumes'!$E15='Lists - Hidden'!$E$16,SUM('2a Enter data - Est. Volumes'!$Q15,'2a Enter data - Est. Volumes'!$T15),"")</f>
        <v/>
      </c>
      <c r="G13" s="278" t="str">
        <f>IF('2a Enter data - Est. Volumes'!$E15='Lists - Hidden'!$E$16,-'2a Enter data - Est. Volumes'!$W15,"")</f>
        <v/>
      </c>
      <c r="H13" s="278" t="str">
        <f>IFERROR(IF('2a Enter data - Est. Volumes'!$E15='Lists - Hidden'!$E$17,SUM('2a Enter data - Est. Volumes'!$Q15,'2a Enter data - Est. Volumes'!$T15),F13*'1 Review details'!$D$16),"")</f>
        <v/>
      </c>
      <c r="I13" s="278" t="str">
        <f>IFERROR(IF('2a Enter data - Est. Volumes'!$E15='Lists - Hidden'!$E$17,-'2a Enter data - Est. Volumes'!$W15,G13*'1 Review details'!$D$16),"")</f>
        <v/>
      </c>
      <c r="J13" s="144">
        <f t="shared" si="1"/>
        <v>0</v>
      </c>
    </row>
    <row r="14" spans="2:10" x14ac:dyDescent="0.35">
      <c r="B14" s="276">
        <f>'2a Enter data - Est. Volumes'!B16</f>
        <v>0</v>
      </c>
      <c r="C14" s="141" t="str">
        <f>'2a Enter data - Est. Volumes'!N16</f>
        <v/>
      </c>
      <c r="D14" s="141" t="str">
        <f>'2a Enter data - Est. Volumes'!O16</f>
        <v/>
      </c>
      <c r="E14" s="284"/>
      <c r="F14" s="278" t="str">
        <f>IF('2a Enter data - Est. Volumes'!$E16='Lists - Hidden'!$E$16,SUM('2a Enter data - Est. Volumes'!$Q16,'2a Enter data - Est. Volumes'!$T16),"")</f>
        <v/>
      </c>
      <c r="G14" s="278" t="str">
        <f>IF('2a Enter data - Est. Volumes'!$E16='Lists - Hidden'!$E$16,-'2a Enter data - Est. Volumes'!$W16,"")</f>
        <v/>
      </c>
      <c r="H14" s="278" t="str">
        <f>IFERROR(IF('2a Enter data - Est. Volumes'!$E16='Lists - Hidden'!$E$17,SUM('2a Enter data - Est. Volumes'!$Q16,'2a Enter data - Est. Volumes'!$T16),F14*'1 Review details'!$D$16),"")</f>
        <v/>
      </c>
      <c r="I14" s="278" t="str">
        <f>IFERROR(IF('2a Enter data - Est. Volumes'!$E16='Lists - Hidden'!$E$17,-'2a Enter data - Est. Volumes'!$W16,G14*'1 Review details'!$D$16),"")</f>
        <v/>
      </c>
      <c r="J14" s="144">
        <f t="shared" si="1"/>
        <v>0</v>
      </c>
    </row>
    <row r="15" spans="2:10" x14ac:dyDescent="0.35">
      <c r="B15" s="276">
        <f>'2a Enter data - Est. Volumes'!B17</f>
        <v>0</v>
      </c>
      <c r="C15" s="141" t="str">
        <f>'2a Enter data - Est. Volumes'!N17</f>
        <v/>
      </c>
      <c r="D15" s="141" t="str">
        <f>'2a Enter data - Est. Volumes'!O17</f>
        <v/>
      </c>
      <c r="E15" s="284"/>
      <c r="F15" s="278" t="str">
        <f>IF('2a Enter data - Est. Volumes'!$E17='Lists - Hidden'!$E$16,SUM('2a Enter data - Est. Volumes'!$Q17,'2a Enter data - Est. Volumes'!$T17),"")</f>
        <v/>
      </c>
      <c r="G15" s="278" t="str">
        <f>IF('2a Enter data - Est. Volumes'!$E17='Lists - Hidden'!$E$16,-'2a Enter data - Est. Volumes'!$W17,"")</f>
        <v/>
      </c>
      <c r="H15" s="278" t="str">
        <f>IFERROR(IF('2a Enter data - Est. Volumes'!$E17='Lists - Hidden'!$E$17,SUM('2a Enter data - Est. Volumes'!$Q17,'2a Enter data - Est. Volumes'!$T17),F15*'1 Review details'!$D$16),"")</f>
        <v/>
      </c>
      <c r="I15" s="278" t="str">
        <f>IFERROR(IF('2a Enter data - Est. Volumes'!$E17='Lists - Hidden'!$E$17,-'2a Enter data - Est. Volumes'!$W17,G15*'1 Review details'!$D$16),"")</f>
        <v/>
      </c>
      <c r="J15" s="144">
        <f t="shared" si="1"/>
        <v>0</v>
      </c>
    </row>
    <row r="16" spans="2:10" x14ac:dyDescent="0.35">
      <c r="B16" s="276">
        <f>'2a Enter data - Est. Volumes'!B18</f>
        <v>0</v>
      </c>
      <c r="C16" s="141" t="str">
        <f>'2a Enter data - Est. Volumes'!N18</f>
        <v/>
      </c>
      <c r="D16" s="141" t="str">
        <f>'2a Enter data - Est. Volumes'!O18</f>
        <v/>
      </c>
      <c r="E16" s="284"/>
      <c r="F16" s="278" t="str">
        <f>IF('2a Enter data - Est. Volumes'!$E18='Lists - Hidden'!$E$16,SUM('2a Enter data - Est. Volumes'!$Q18,'2a Enter data - Est. Volumes'!$T18),"")</f>
        <v/>
      </c>
      <c r="G16" s="278" t="str">
        <f>IF('2a Enter data - Est. Volumes'!$E18='Lists - Hidden'!$E$16,-'2a Enter data - Est. Volumes'!$W18,"")</f>
        <v/>
      </c>
      <c r="H16" s="278" t="str">
        <f>IFERROR(IF('2a Enter data - Est. Volumes'!$E18='Lists - Hidden'!$E$17,SUM('2a Enter data - Est. Volumes'!$Q18,'2a Enter data - Est. Volumes'!$T18),F16*'1 Review details'!$D$16),"")</f>
        <v/>
      </c>
      <c r="I16" s="278" t="str">
        <f>IFERROR(IF('2a Enter data - Est. Volumes'!$E18='Lists - Hidden'!$E$17,-'2a Enter data - Est. Volumes'!$W18,G16*'1 Review details'!$D$16),"")</f>
        <v/>
      </c>
      <c r="J16" s="144">
        <f t="shared" si="1"/>
        <v>0</v>
      </c>
    </row>
    <row r="17" spans="2:10" x14ac:dyDescent="0.35">
      <c r="B17" s="276">
        <f>'2a Enter data - Est. Volumes'!B19</f>
        <v>0</v>
      </c>
      <c r="C17" s="141" t="str">
        <f>'2a Enter data - Est. Volumes'!N19</f>
        <v/>
      </c>
      <c r="D17" s="141" t="str">
        <f>'2a Enter data - Est. Volumes'!O19</f>
        <v/>
      </c>
      <c r="E17" s="284"/>
      <c r="F17" s="278" t="str">
        <f>IF('2a Enter data - Est. Volumes'!$E19='Lists - Hidden'!$E$16,SUM('2a Enter data - Est. Volumes'!$Q19,'2a Enter data - Est. Volumes'!$T19),"")</f>
        <v/>
      </c>
      <c r="G17" s="278" t="str">
        <f>IF('2a Enter data - Est. Volumes'!$E19='Lists - Hidden'!$E$16,-'2a Enter data - Est. Volumes'!$W19,"")</f>
        <v/>
      </c>
      <c r="H17" s="278" t="str">
        <f>IFERROR(IF('2a Enter data - Est. Volumes'!$E19='Lists - Hidden'!$E$17,SUM('2a Enter data - Est. Volumes'!$Q19,'2a Enter data - Est. Volumes'!$T19),F17*'1 Review details'!$D$16),"")</f>
        <v/>
      </c>
      <c r="I17" s="278" t="str">
        <f>IFERROR(IF('2a Enter data - Est. Volumes'!$E19='Lists - Hidden'!$E$17,-'2a Enter data - Est. Volumes'!$W19,G17*'1 Review details'!$D$16),"")</f>
        <v/>
      </c>
      <c r="J17" s="144">
        <f t="shared" si="1"/>
        <v>0</v>
      </c>
    </row>
    <row r="18" spans="2:10" x14ac:dyDescent="0.35">
      <c r="B18" s="276">
        <f>'2a Enter data - Est. Volumes'!B20</f>
        <v>0</v>
      </c>
      <c r="C18" s="141" t="str">
        <f>'2a Enter data - Est. Volumes'!N20</f>
        <v/>
      </c>
      <c r="D18" s="141" t="str">
        <f>'2a Enter data - Est. Volumes'!O20</f>
        <v/>
      </c>
      <c r="E18" s="284"/>
      <c r="F18" s="278" t="str">
        <f>IF('2a Enter data - Est. Volumes'!$E20='Lists - Hidden'!$E$16,SUM('2a Enter data - Est. Volumes'!$Q20,'2a Enter data - Est. Volumes'!$T20),"")</f>
        <v/>
      </c>
      <c r="G18" s="278" t="str">
        <f>IF('2a Enter data - Est. Volumes'!$E20='Lists - Hidden'!$E$16,-'2a Enter data - Est. Volumes'!$W20,"")</f>
        <v/>
      </c>
      <c r="H18" s="278" t="str">
        <f>IFERROR(IF('2a Enter data - Est. Volumes'!$E20='Lists - Hidden'!$E$17,SUM('2a Enter data - Est. Volumes'!$Q20,'2a Enter data - Est. Volumes'!$T20),F18*'1 Review details'!$D$16),"")</f>
        <v/>
      </c>
      <c r="I18" s="278" t="str">
        <f>IFERROR(IF('2a Enter data - Est. Volumes'!$E20='Lists - Hidden'!$E$17,-'2a Enter data - Est. Volumes'!$W20,G18*'1 Review details'!$D$16),"")</f>
        <v/>
      </c>
      <c r="J18" s="144">
        <f t="shared" si="1"/>
        <v>0</v>
      </c>
    </row>
    <row r="19" spans="2:10" x14ac:dyDescent="0.35">
      <c r="B19" s="276">
        <f>'2a Enter data - Est. Volumes'!B21</f>
        <v>0</v>
      </c>
      <c r="C19" s="141" t="str">
        <f>'2a Enter data - Est. Volumes'!N21</f>
        <v/>
      </c>
      <c r="D19" s="141" t="str">
        <f>'2a Enter data - Est. Volumes'!O21</f>
        <v/>
      </c>
      <c r="E19" s="284"/>
      <c r="F19" s="278" t="str">
        <f>IF('2a Enter data - Est. Volumes'!$E21='Lists - Hidden'!$E$16,SUM('2a Enter data - Est. Volumes'!$Q21,'2a Enter data - Est. Volumes'!$T21),"")</f>
        <v/>
      </c>
      <c r="G19" s="278" t="str">
        <f>IF('2a Enter data - Est. Volumes'!$E21='Lists - Hidden'!$E$16,-'2a Enter data - Est. Volumes'!$W21,"")</f>
        <v/>
      </c>
      <c r="H19" s="278" t="str">
        <f>IFERROR(IF('2a Enter data - Est. Volumes'!$E21='Lists - Hidden'!$E$17,SUM('2a Enter data - Est. Volumes'!$Q21,'2a Enter data - Est. Volumes'!$T21),F19*'1 Review details'!$D$16),"")</f>
        <v/>
      </c>
      <c r="I19" s="278" t="str">
        <f>IFERROR(IF('2a Enter data - Est. Volumes'!$E21='Lists - Hidden'!$E$17,-'2a Enter data - Est. Volumes'!$W21,G19*'1 Review details'!$D$16),"")</f>
        <v/>
      </c>
      <c r="J19" s="144">
        <f t="shared" si="1"/>
        <v>0</v>
      </c>
    </row>
    <row r="20" spans="2:10" x14ac:dyDescent="0.35">
      <c r="B20" s="276">
        <f>'2a Enter data - Est. Volumes'!B22</f>
        <v>0</v>
      </c>
      <c r="C20" s="141" t="str">
        <f>'2a Enter data - Est. Volumes'!N22</f>
        <v/>
      </c>
      <c r="D20" s="141" t="str">
        <f>'2a Enter data - Est. Volumes'!O22</f>
        <v/>
      </c>
      <c r="E20" s="284"/>
      <c r="F20" s="278" t="str">
        <f>IF('2a Enter data - Est. Volumes'!$E22='Lists - Hidden'!$E$16,SUM('2a Enter data - Est. Volumes'!$Q22,'2a Enter data - Est. Volumes'!$T22),"")</f>
        <v/>
      </c>
      <c r="G20" s="278" t="str">
        <f>IF('2a Enter data - Est. Volumes'!$E22='Lists - Hidden'!$E$16,-'2a Enter data - Est. Volumes'!$W22,"")</f>
        <v/>
      </c>
      <c r="H20" s="278" t="str">
        <f>IFERROR(IF('2a Enter data - Est. Volumes'!$E22='Lists - Hidden'!$E$17,SUM('2a Enter data - Est. Volumes'!$Q22,'2a Enter data - Est. Volumes'!$T22),F20*'1 Review details'!$D$16),"")</f>
        <v/>
      </c>
      <c r="I20" s="278" t="str">
        <f>IFERROR(IF('2a Enter data - Est. Volumes'!$E22='Lists - Hidden'!$E$17,-'2a Enter data - Est. Volumes'!$W22,G20*'1 Review details'!$D$16),"")</f>
        <v/>
      </c>
      <c r="J20" s="144">
        <f t="shared" si="1"/>
        <v>0</v>
      </c>
    </row>
    <row r="21" spans="2:10" x14ac:dyDescent="0.35">
      <c r="B21" s="276">
        <f>'2a Enter data - Est. Volumes'!B23</f>
        <v>0</v>
      </c>
      <c r="C21" s="141" t="str">
        <f>'2a Enter data - Est. Volumes'!N23</f>
        <v/>
      </c>
      <c r="D21" s="141" t="str">
        <f>'2a Enter data - Est. Volumes'!O23</f>
        <v/>
      </c>
      <c r="E21" s="283"/>
      <c r="F21" s="278" t="str">
        <f>IF('2a Enter data - Est. Volumes'!$E23='Lists - Hidden'!$E$16,SUM('2a Enter data - Est. Volumes'!$Q23,'2a Enter data - Est. Volumes'!$T23),"")</f>
        <v/>
      </c>
      <c r="G21" s="278" t="str">
        <f>IF('2a Enter data - Est. Volumes'!$E23='Lists - Hidden'!$E$16,-'2a Enter data - Est. Volumes'!$W23,"")</f>
        <v/>
      </c>
      <c r="H21" s="278" t="str">
        <f>IFERROR(IF('2a Enter data - Est. Volumes'!$E23='Lists - Hidden'!$E$17,SUM('2a Enter data - Est. Volumes'!$Q23,'2a Enter data - Est. Volumes'!$T23),F21*'1 Review details'!$D$16),"")</f>
        <v/>
      </c>
      <c r="I21" s="278" t="str">
        <f>IFERROR(IF('2a Enter data - Est. Volumes'!$E23='Lists - Hidden'!$E$17,-'2a Enter data - Est. Volumes'!$W23,G21*'1 Review details'!$D$16),"")</f>
        <v/>
      </c>
      <c r="J21" s="144">
        <f t="shared" si="1"/>
        <v>0</v>
      </c>
    </row>
    <row r="22" spans="2:10" x14ac:dyDescent="0.35">
      <c r="B22" s="276">
        <f>'2a Enter data - Est. Volumes'!B24</f>
        <v>0</v>
      </c>
      <c r="C22" s="141" t="str">
        <f>'2a Enter data - Est. Volumes'!N24</f>
        <v/>
      </c>
      <c r="D22" s="141" t="str">
        <f>'2a Enter data - Est. Volumes'!O24</f>
        <v/>
      </c>
      <c r="E22" s="284"/>
      <c r="F22" s="278" t="str">
        <f>IF('2a Enter data - Est. Volumes'!$E24='Lists - Hidden'!$E$16,SUM('2a Enter data - Est. Volumes'!$Q24,'2a Enter data - Est. Volumes'!$T24),"")</f>
        <v/>
      </c>
      <c r="G22" s="278" t="str">
        <f>IF('2a Enter data - Est. Volumes'!$E24='Lists - Hidden'!$E$16,-'2a Enter data - Est. Volumes'!$W24,"")</f>
        <v/>
      </c>
      <c r="H22" s="278" t="str">
        <f>IFERROR(IF('2a Enter data - Est. Volumes'!$E24='Lists - Hidden'!$E$17,SUM('2a Enter data - Est. Volumes'!$Q24,'2a Enter data - Est. Volumes'!$T24),F22*'1 Review details'!$D$16),"")</f>
        <v/>
      </c>
      <c r="I22" s="278" t="str">
        <f>IFERROR(IF('2a Enter data - Est. Volumes'!$E24='Lists - Hidden'!$E$17,-'2a Enter data - Est. Volumes'!$W24,G22*'1 Review details'!$D$16),"")</f>
        <v/>
      </c>
      <c r="J22" s="144">
        <f t="shared" si="1"/>
        <v>0</v>
      </c>
    </row>
    <row r="23" spans="2:10" x14ac:dyDescent="0.35">
      <c r="B23" s="276">
        <f>'2a Enter data - Est. Volumes'!B25</f>
        <v>0</v>
      </c>
      <c r="C23" s="141" t="str">
        <f>'2a Enter data - Est. Volumes'!N25</f>
        <v/>
      </c>
      <c r="D23" s="141" t="str">
        <f>'2a Enter data - Est. Volumes'!O25</f>
        <v/>
      </c>
      <c r="E23" s="284"/>
      <c r="F23" s="278" t="str">
        <f>IF('2a Enter data - Est. Volumes'!$E25='Lists - Hidden'!$E$16,SUM('2a Enter data - Est. Volumes'!$Q25,'2a Enter data - Est. Volumes'!$T25),"")</f>
        <v/>
      </c>
      <c r="G23" s="278" t="str">
        <f>IF('2a Enter data - Est. Volumes'!$E25='Lists - Hidden'!$E$16,-'2a Enter data - Est. Volumes'!$W25,"")</f>
        <v/>
      </c>
      <c r="H23" s="278" t="str">
        <f>IFERROR(IF('2a Enter data - Est. Volumes'!$E25='Lists - Hidden'!$E$17,SUM('2a Enter data - Est. Volumes'!$Q25,'2a Enter data - Est. Volumes'!$T25),F23*'1 Review details'!$D$16),"")</f>
        <v/>
      </c>
      <c r="I23" s="278" t="str">
        <f>IFERROR(IF('2a Enter data - Est. Volumes'!$E25='Lists - Hidden'!$E$17,-'2a Enter data - Est. Volumes'!$W25,G23*'1 Review details'!$D$16),"")</f>
        <v/>
      </c>
      <c r="J23" s="144">
        <f t="shared" si="1"/>
        <v>0</v>
      </c>
    </row>
    <row r="24" spans="2:10" x14ac:dyDescent="0.35">
      <c r="B24" s="276">
        <f>'2a Enter data - Est. Volumes'!B26</f>
        <v>0</v>
      </c>
      <c r="C24" s="141" t="str">
        <f>'2a Enter data - Est. Volumes'!N26</f>
        <v/>
      </c>
      <c r="D24" s="141" t="str">
        <f>'2a Enter data - Est. Volumes'!O26</f>
        <v/>
      </c>
      <c r="E24" s="284"/>
      <c r="F24" s="278" t="str">
        <f>IF('2a Enter data - Est. Volumes'!$E26='Lists - Hidden'!$E$16,SUM('2a Enter data - Est. Volumes'!$Q26,'2a Enter data - Est. Volumes'!$T26),"")</f>
        <v/>
      </c>
      <c r="G24" s="278" t="str">
        <f>IF('2a Enter data - Est. Volumes'!$E26='Lists - Hidden'!$E$16,-'2a Enter data - Est. Volumes'!$W26,"")</f>
        <v/>
      </c>
      <c r="H24" s="278" t="str">
        <f>IFERROR(IF('2a Enter data - Est. Volumes'!$E26='Lists - Hidden'!$E$17,SUM('2a Enter data - Est. Volumes'!$Q26,'2a Enter data - Est. Volumes'!$T26),F24*'1 Review details'!$D$16),"")</f>
        <v/>
      </c>
      <c r="I24" s="278" t="str">
        <f>IFERROR(IF('2a Enter data - Est. Volumes'!$E26='Lists - Hidden'!$E$17,-'2a Enter data - Est. Volumes'!$W26,G24*'1 Review details'!$D$16),"")</f>
        <v/>
      </c>
      <c r="J24" s="144">
        <f t="shared" si="1"/>
        <v>0</v>
      </c>
    </row>
    <row r="25" spans="2:10" x14ac:dyDescent="0.35">
      <c r="B25" s="276">
        <f>'2a Enter data - Est. Volumes'!B27</f>
        <v>0</v>
      </c>
      <c r="C25" s="141" t="str">
        <f>'2a Enter data - Est. Volumes'!N27</f>
        <v/>
      </c>
      <c r="D25" s="141" t="str">
        <f>'2a Enter data - Est. Volumes'!O27</f>
        <v/>
      </c>
      <c r="E25" s="284"/>
      <c r="F25" s="278" t="str">
        <f>IF('2a Enter data - Est. Volumes'!$E27='Lists - Hidden'!$E$16,SUM('2a Enter data - Est. Volumes'!$Q27,'2a Enter data - Est. Volumes'!$T27),"")</f>
        <v/>
      </c>
      <c r="G25" s="278" t="str">
        <f>IF('2a Enter data - Est. Volumes'!$E27='Lists - Hidden'!$E$16,-'2a Enter data - Est. Volumes'!$W27,"")</f>
        <v/>
      </c>
      <c r="H25" s="278" t="str">
        <f>IFERROR(IF('2a Enter data - Est. Volumes'!$E27='Lists - Hidden'!$E$17,SUM('2a Enter data - Est. Volumes'!$Q27,'2a Enter data - Est. Volumes'!$T27),F25*'1 Review details'!$D$16),"")</f>
        <v/>
      </c>
      <c r="I25" s="278" t="str">
        <f>IFERROR(IF('2a Enter data - Est. Volumes'!$E27='Lists - Hidden'!$E$17,-'2a Enter data - Est. Volumes'!$W27,G25*'1 Review details'!$D$16),"")</f>
        <v/>
      </c>
      <c r="J25" s="144">
        <f t="shared" si="1"/>
        <v>0</v>
      </c>
    </row>
    <row r="26" spans="2:10" x14ac:dyDescent="0.35">
      <c r="B26" s="276">
        <f>'2a Enter data - Est. Volumes'!B28</f>
        <v>0</v>
      </c>
      <c r="C26" s="141" t="str">
        <f>'2a Enter data - Est. Volumes'!N28</f>
        <v/>
      </c>
      <c r="D26" s="141" t="str">
        <f>'2a Enter data - Est. Volumes'!O28</f>
        <v/>
      </c>
      <c r="E26" s="284"/>
      <c r="F26" s="278" t="str">
        <f>IF('2a Enter data - Est. Volumes'!$E28='Lists - Hidden'!$E$16,SUM('2a Enter data - Est. Volumes'!$Q28,'2a Enter data - Est. Volumes'!$T28),"")</f>
        <v/>
      </c>
      <c r="G26" s="278" t="str">
        <f>IF('2a Enter data - Est. Volumes'!$E28='Lists - Hidden'!$E$16,-'2a Enter data - Est. Volumes'!$W28,"")</f>
        <v/>
      </c>
      <c r="H26" s="278" t="str">
        <f>IFERROR(IF('2a Enter data - Est. Volumes'!$E28='Lists - Hidden'!$E$17,SUM('2a Enter data - Est. Volumes'!$Q28,'2a Enter data - Est. Volumes'!$T28),F26*'1 Review details'!$D$16),"")</f>
        <v/>
      </c>
      <c r="I26" s="278" t="str">
        <f>IFERROR(IF('2a Enter data - Est. Volumes'!$E28='Lists - Hidden'!$E$17,-'2a Enter data - Est. Volumes'!$W28,G26*'1 Review details'!$D$16),"")</f>
        <v/>
      </c>
      <c r="J26" s="144">
        <f t="shared" si="1"/>
        <v>0</v>
      </c>
    </row>
    <row r="29" spans="2:10" ht="22.5" x14ac:dyDescent="0.35">
      <c r="B29" s="250" t="s">
        <v>294</v>
      </c>
    </row>
    <row r="30" spans="2:10" ht="17.5" x14ac:dyDescent="0.35">
      <c r="C30" s="270" t="s">
        <v>298</v>
      </c>
      <c r="D30" s="270"/>
      <c r="E30" s="281"/>
      <c r="F30" s="244" t="s">
        <v>299</v>
      </c>
      <c r="G30" s="244"/>
      <c r="H30" s="244"/>
      <c r="I30" s="244"/>
      <c r="J30" s="244"/>
    </row>
    <row r="31" spans="2:10" ht="64" customHeight="1" x14ac:dyDescent="0.35">
      <c r="B31" s="243" t="s">
        <v>43</v>
      </c>
      <c r="C31" s="292" t="s">
        <v>292</v>
      </c>
      <c r="D31" s="268" t="s">
        <v>118</v>
      </c>
      <c r="E31" s="282"/>
      <c r="F31" s="291" t="s">
        <v>292</v>
      </c>
      <c r="G31" s="290"/>
      <c r="H31" s="269" t="s">
        <v>291</v>
      </c>
      <c r="I31" s="269"/>
      <c r="J31" s="269"/>
    </row>
    <row r="32" spans="2:10" ht="16" x14ac:dyDescent="0.35">
      <c r="B32" s="267" t="s">
        <v>257</v>
      </c>
      <c r="C32" s="186"/>
      <c r="D32" s="186"/>
      <c r="E32" s="283"/>
      <c r="F32" s="277" t="s">
        <v>299</v>
      </c>
      <c r="G32" s="277" t="s">
        <v>301</v>
      </c>
      <c r="H32" s="277" t="s">
        <v>299</v>
      </c>
      <c r="I32" s="277" t="s">
        <v>301</v>
      </c>
      <c r="J32" s="285" t="s">
        <v>10</v>
      </c>
    </row>
    <row r="33" spans="2:10" x14ac:dyDescent="0.35">
      <c r="B33" s="99">
        <f>'2b Enter data - Actual weight'!B8</f>
        <v>0</v>
      </c>
      <c r="C33" s="273" t="str">
        <f>IFERROR('2b Enter data - Actual weight'!R8,"")</f>
        <v/>
      </c>
      <c r="D33" s="141" t="str">
        <f>IFERROR('2b Enter data - Actual weight'!S8,"")</f>
        <v/>
      </c>
      <c r="E33" s="284"/>
      <c r="F33" s="278" t="str">
        <f>IF('2b Enter data - Actual weight'!$E8='Lists - Hidden'!$E$16,'2b Enter data - Actual weight'!$AF8,"")</f>
        <v/>
      </c>
      <c r="G33" s="278" t="str">
        <f>IF('2b Enter data - Actual weight'!$E8='Lists - Hidden'!$E$16,'2b Enter data - Actual weight'!$AG8,"")</f>
        <v/>
      </c>
      <c r="H33" s="278" t="str">
        <f>IFERROR(IF('2b Enter data - Actual weight'!$E8='Lists - Hidden'!$E$17,'2b Enter data - Actual weight'!$AF8,F33*'1 Review details'!$D$16),"")</f>
        <v/>
      </c>
      <c r="I33" s="278" t="str">
        <f>IFERROR(IF('2b Enter data - Actual weight'!$E8='Lists - Hidden'!$E$17,'2b Enter data - Actual weight'!$AG8,G33*'1 Review details'!$D$16),"")</f>
        <v/>
      </c>
      <c r="J33" s="144">
        <f>SUM(H33:I33)</f>
        <v>0</v>
      </c>
    </row>
    <row r="34" spans="2:10" x14ac:dyDescent="0.35">
      <c r="B34" s="99">
        <f>'2b Enter data - Actual weight'!B9</f>
        <v>0</v>
      </c>
      <c r="C34" s="273" t="str">
        <f>IFERROR('2b Enter data - Actual weight'!R9,"")</f>
        <v/>
      </c>
      <c r="D34" s="141" t="str">
        <f>IFERROR('2b Enter data - Actual weight'!S9,"")</f>
        <v/>
      </c>
      <c r="E34" s="284"/>
      <c r="F34" s="278" t="str">
        <f>IF('2b Enter data - Actual weight'!$E9='Lists - Hidden'!$E$16,'2b Enter data - Actual weight'!$AF9,"")</f>
        <v/>
      </c>
      <c r="G34" s="278" t="str">
        <f>IF('2b Enter data - Actual weight'!$E9='Lists - Hidden'!$E$16,'2b Enter data - Actual weight'!$AG9,"")</f>
        <v/>
      </c>
      <c r="H34" s="278" t="str">
        <f>IFERROR(IF('2b Enter data - Actual weight'!$E9='Lists - Hidden'!$E$17,'2b Enter data - Actual weight'!$AF9,F34*'1 Review details'!$D$16),"")</f>
        <v/>
      </c>
      <c r="I34" s="278" t="str">
        <f>IFERROR(IF('2b Enter data - Actual weight'!$E9='Lists - Hidden'!$E$17,'2b Enter data - Actual weight'!$AG9,G34*'1 Review details'!$D$16),"")</f>
        <v/>
      </c>
      <c r="J34" s="144">
        <f t="shared" ref="J34:J52" si="2">SUM(H34:I34)</f>
        <v>0</v>
      </c>
    </row>
    <row r="35" spans="2:10" x14ac:dyDescent="0.35">
      <c r="B35" s="99">
        <f>'2b Enter data - Actual weight'!B10</f>
        <v>0</v>
      </c>
      <c r="C35" s="273" t="str">
        <f>IFERROR('2b Enter data - Actual weight'!R10,"")</f>
        <v/>
      </c>
      <c r="D35" s="141" t="str">
        <f>IFERROR('2b Enter data - Actual weight'!S10,"")</f>
        <v/>
      </c>
      <c r="E35" s="284"/>
      <c r="F35" s="278" t="str">
        <f>IF('2b Enter data - Actual weight'!$E10='Lists - Hidden'!$E$16,'2b Enter data - Actual weight'!$AF10,"")</f>
        <v/>
      </c>
      <c r="G35" s="278" t="str">
        <f>IF('2b Enter data - Actual weight'!$E10='Lists - Hidden'!$E$16,'2b Enter data - Actual weight'!$AG10,"")</f>
        <v/>
      </c>
      <c r="H35" s="278" t="str">
        <f>IFERROR(IF('2b Enter data - Actual weight'!$E10='Lists - Hidden'!$E$17,'2b Enter data - Actual weight'!$AF10,F35*'1 Review details'!$D$16),"")</f>
        <v/>
      </c>
      <c r="I35" s="278" t="str">
        <f>IFERROR(IF('2b Enter data - Actual weight'!$E10='Lists - Hidden'!$E$17,'2b Enter data - Actual weight'!$AG10,G35*'1 Review details'!$D$16),"")</f>
        <v/>
      </c>
      <c r="J35" s="144">
        <f t="shared" si="2"/>
        <v>0</v>
      </c>
    </row>
    <row r="36" spans="2:10" x14ac:dyDescent="0.35">
      <c r="B36" s="99">
        <f>'2b Enter data - Actual weight'!B11</f>
        <v>0</v>
      </c>
      <c r="C36" s="273" t="str">
        <f>IFERROR('2b Enter data - Actual weight'!R11,"")</f>
        <v/>
      </c>
      <c r="D36" s="141" t="str">
        <f>IFERROR('2b Enter data - Actual weight'!S11,"")</f>
        <v/>
      </c>
      <c r="E36" s="284"/>
      <c r="F36" s="278" t="str">
        <f>IF('2b Enter data - Actual weight'!$E11='Lists - Hidden'!$E$16,'2b Enter data - Actual weight'!$AF11,"")</f>
        <v/>
      </c>
      <c r="G36" s="278" t="str">
        <f>IF('2b Enter data - Actual weight'!$E11='Lists - Hidden'!$E$16,'2b Enter data - Actual weight'!$AG11,"")</f>
        <v/>
      </c>
      <c r="H36" s="278" t="str">
        <f>IFERROR(IF('2b Enter data - Actual weight'!$E11='Lists - Hidden'!$E$17,'2b Enter data - Actual weight'!$AF11,F36*'1 Review details'!$D$16),"")</f>
        <v/>
      </c>
      <c r="I36" s="278" t="str">
        <f>IFERROR(IF('2b Enter data - Actual weight'!$E11='Lists - Hidden'!$E$17,'2b Enter data - Actual weight'!$AG11,G36*'1 Review details'!$D$16),"")</f>
        <v/>
      </c>
      <c r="J36" s="144">
        <f t="shared" si="2"/>
        <v>0</v>
      </c>
    </row>
    <row r="37" spans="2:10" x14ac:dyDescent="0.35">
      <c r="B37" s="99">
        <f>'2b Enter data - Actual weight'!B12</f>
        <v>0</v>
      </c>
      <c r="C37" s="273" t="str">
        <f>IFERROR('2b Enter data - Actual weight'!R12,"")</f>
        <v/>
      </c>
      <c r="D37" s="141" t="str">
        <f>IFERROR('2b Enter data - Actual weight'!S12,"")</f>
        <v/>
      </c>
      <c r="E37" s="284"/>
      <c r="F37" s="278" t="str">
        <f>IF('2b Enter data - Actual weight'!$E12='Lists - Hidden'!$E$16,'2b Enter data - Actual weight'!$AF12,"")</f>
        <v/>
      </c>
      <c r="G37" s="278" t="str">
        <f>IF('2b Enter data - Actual weight'!$E12='Lists - Hidden'!$E$16,'2b Enter data - Actual weight'!$AG12,"")</f>
        <v/>
      </c>
      <c r="H37" s="278" t="str">
        <f>IFERROR(IF('2b Enter data - Actual weight'!$E12='Lists - Hidden'!$E$17,'2b Enter data - Actual weight'!$AF12,F37*'1 Review details'!$D$16),"")</f>
        <v/>
      </c>
      <c r="I37" s="278" t="str">
        <f>IFERROR(IF('2b Enter data - Actual weight'!$E12='Lists - Hidden'!$E$17,'2b Enter data - Actual weight'!$AG12,G37*'1 Review details'!$D$16),"")</f>
        <v/>
      </c>
      <c r="J37" s="144">
        <f t="shared" si="2"/>
        <v>0</v>
      </c>
    </row>
    <row r="38" spans="2:10" x14ac:dyDescent="0.35">
      <c r="B38" s="99">
        <f>'2b Enter data - Actual weight'!B13</f>
        <v>0</v>
      </c>
      <c r="C38" s="273" t="str">
        <f>IFERROR('2b Enter data - Actual weight'!R13,"")</f>
        <v/>
      </c>
      <c r="D38" s="141" t="str">
        <f>IFERROR('2b Enter data - Actual weight'!S13,"")</f>
        <v/>
      </c>
      <c r="E38" s="284"/>
      <c r="F38" s="278" t="str">
        <f>IF('2b Enter data - Actual weight'!$E13='Lists - Hidden'!$E$16,'2b Enter data - Actual weight'!$AF13,"")</f>
        <v/>
      </c>
      <c r="G38" s="278" t="str">
        <f>IF('2b Enter data - Actual weight'!$E13='Lists - Hidden'!$E$16,'2b Enter data - Actual weight'!$AG13,"")</f>
        <v/>
      </c>
      <c r="H38" s="278" t="str">
        <f>IFERROR(IF('2b Enter data - Actual weight'!$E13='Lists - Hidden'!$E$17,'2b Enter data - Actual weight'!$AF13,F38*'1 Review details'!$D$16),"")</f>
        <v/>
      </c>
      <c r="I38" s="278" t="str">
        <f>IFERROR(IF('2b Enter data - Actual weight'!$E13='Lists - Hidden'!$E$17,'2b Enter data - Actual weight'!$AG13,G38*'1 Review details'!$D$16),"")</f>
        <v/>
      </c>
      <c r="J38" s="144">
        <f t="shared" si="2"/>
        <v>0</v>
      </c>
    </row>
    <row r="39" spans="2:10" x14ac:dyDescent="0.35">
      <c r="B39" s="99">
        <f>'2b Enter data - Actual weight'!B14</f>
        <v>0</v>
      </c>
      <c r="C39" s="273" t="str">
        <f>IFERROR('2b Enter data - Actual weight'!R14,"")</f>
        <v/>
      </c>
      <c r="D39" s="141" t="str">
        <f>IFERROR('2b Enter data - Actual weight'!S14,"")</f>
        <v/>
      </c>
      <c r="E39" s="284"/>
      <c r="F39" s="278" t="str">
        <f>IF('2b Enter data - Actual weight'!$E14='Lists - Hidden'!$E$16,'2b Enter data - Actual weight'!$AF14,"")</f>
        <v/>
      </c>
      <c r="G39" s="278" t="str">
        <f>IF('2b Enter data - Actual weight'!$E14='Lists - Hidden'!$E$16,'2b Enter data - Actual weight'!$AG14,"")</f>
        <v/>
      </c>
      <c r="H39" s="278" t="str">
        <f>IFERROR(IF('2b Enter data - Actual weight'!$E14='Lists - Hidden'!$E$17,'2b Enter data - Actual weight'!$AF14,F39*'1 Review details'!$D$16),"")</f>
        <v/>
      </c>
      <c r="I39" s="278" t="str">
        <f>IFERROR(IF('2b Enter data - Actual weight'!$E14='Lists - Hidden'!$E$17,'2b Enter data - Actual weight'!$AG14,G39*'1 Review details'!$D$16),"")</f>
        <v/>
      </c>
      <c r="J39" s="144">
        <f t="shared" si="2"/>
        <v>0</v>
      </c>
    </row>
    <row r="40" spans="2:10" x14ac:dyDescent="0.35">
      <c r="B40" s="99">
        <f>'2b Enter data - Actual weight'!B15</f>
        <v>0</v>
      </c>
      <c r="C40" s="273" t="str">
        <f>IFERROR('2b Enter data - Actual weight'!R15,"")</f>
        <v/>
      </c>
      <c r="D40" s="141" t="str">
        <f>IFERROR('2b Enter data - Actual weight'!S15,"")</f>
        <v/>
      </c>
      <c r="E40" s="284"/>
      <c r="F40" s="278" t="str">
        <f>IF('2b Enter data - Actual weight'!$E15='Lists - Hidden'!$E$16,'2b Enter data - Actual weight'!$AF15,"")</f>
        <v/>
      </c>
      <c r="G40" s="278" t="str">
        <f>IF('2b Enter data - Actual weight'!$E15='Lists - Hidden'!$E$16,'2b Enter data - Actual weight'!$AG15,"")</f>
        <v/>
      </c>
      <c r="H40" s="278" t="str">
        <f>IFERROR(IF('2b Enter data - Actual weight'!$E15='Lists - Hidden'!$E$17,'2b Enter data - Actual weight'!$AF15,F40*'1 Review details'!$D$16),"")</f>
        <v/>
      </c>
      <c r="I40" s="278" t="str">
        <f>IFERROR(IF('2b Enter data - Actual weight'!$E15='Lists - Hidden'!$E$17,'2b Enter data - Actual weight'!$AG15,G40*'1 Review details'!$D$16),"")</f>
        <v/>
      </c>
      <c r="J40" s="144">
        <f t="shared" si="2"/>
        <v>0</v>
      </c>
    </row>
    <row r="41" spans="2:10" x14ac:dyDescent="0.35">
      <c r="B41" s="99">
        <f>'2b Enter data - Actual weight'!B16</f>
        <v>0</v>
      </c>
      <c r="C41" s="273" t="str">
        <f>IFERROR('2b Enter data - Actual weight'!R16,"")</f>
        <v/>
      </c>
      <c r="D41" s="141" t="str">
        <f>IFERROR('2b Enter data - Actual weight'!S16,"")</f>
        <v/>
      </c>
      <c r="E41" s="284"/>
      <c r="F41" s="278" t="str">
        <f>IF('2b Enter data - Actual weight'!$E16='Lists - Hidden'!$E$16,'2b Enter data - Actual weight'!$AF16,"")</f>
        <v/>
      </c>
      <c r="G41" s="278" t="str">
        <f>IF('2b Enter data - Actual weight'!$E16='Lists - Hidden'!$E$16,'2b Enter data - Actual weight'!$AG16,"")</f>
        <v/>
      </c>
      <c r="H41" s="278" t="str">
        <f>IFERROR(IF('2b Enter data - Actual weight'!$E16='Lists - Hidden'!$E$17,'2b Enter data - Actual weight'!$AF16,F41*'1 Review details'!$D$16),"")</f>
        <v/>
      </c>
      <c r="I41" s="278" t="str">
        <f>IFERROR(IF('2b Enter data - Actual weight'!$E16='Lists - Hidden'!$E$17,'2b Enter data - Actual weight'!$AG16,G41*'1 Review details'!$D$16),"")</f>
        <v/>
      </c>
      <c r="J41" s="144">
        <f t="shared" si="2"/>
        <v>0</v>
      </c>
    </row>
    <row r="42" spans="2:10" x14ac:dyDescent="0.35">
      <c r="B42" s="99">
        <f>'2b Enter data - Actual weight'!B17</f>
        <v>0</v>
      </c>
      <c r="C42" s="273" t="str">
        <f>IFERROR('2b Enter data - Actual weight'!R17,"")</f>
        <v/>
      </c>
      <c r="D42" s="141" t="str">
        <f>IFERROR('2b Enter data - Actual weight'!S17,"")</f>
        <v/>
      </c>
      <c r="E42" s="284"/>
      <c r="F42" s="278" t="str">
        <f>IF('2b Enter data - Actual weight'!$E17='Lists - Hidden'!$E$16,'2b Enter data - Actual weight'!$AF17,"")</f>
        <v/>
      </c>
      <c r="G42" s="278" t="str">
        <f>IF('2b Enter data - Actual weight'!$E17='Lists - Hidden'!$E$16,'2b Enter data - Actual weight'!$AG17,"")</f>
        <v/>
      </c>
      <c r="H42" s="278" t="str">
        <f>IFERROR(IF('2b Enter data - Actual weight'!$E17='Lists - Hidden'!$E$17,'2b Enter data - Actual weight'!$AF17,F42*'1 Review details'!$D$16),"")</f>
        <v/>
      </c>
      <c r="I42" s="278" t="str">
        <f>IFERROR(IF('2b Enter data - Actual weight'!$E17='Lists - Hidden'!$E$17,'2b Enter data - Actual weight'!$AG17,G42*'1 Review details'!$D$16),"")</f>
        <v/>
      </c>
      <c r="J42" s="144">
        <f t="shared" si="2"/>
        <v>0</v>
      </c>
    </row>
    <row r="43" spans="2:10" x14ac:dyDescent="0.35">
      <c r="B43" s="99">
        <f>'2b Enter data - Actual weight'!B18</f>
        <v>0</v>
      </c>
      <c r="C43" s="273" t="str">
        <f>IFERROR('2b Enter data - Actual weight'!R18,"")</f>
        <v/>
      </c>
      <c r="D43" s="141" t="str">
        <f>IFERROR('2b Enter data - Actual weight'!S18,"")</f>
        <v/>
      </c>
      <c r="E43" s="284"/>
      <c r="F43" s="278" t="str">
        <f>IF('2b Enter data - Actual weight'!$E18='Lists - Hidden'!$E$16,'2b Enter data - Actual weight'!$AF18,"")</f>
        <v/>
      </c>
      <c r="G43" s="278" t="str">
        <f>IF('2b Enter data - Actual weight'!$E18='Lists - Hidden'!$E$16,'2b Enter data - Actual weight'!$AG18,"")</f>
        <v/>
      </c>
      <c r="H43" s="278" t="str">
        <f>IFERROR(IF('2b Enter data - Actual weight'!$E18='Lists - Hidden'!$E$17,'2b Enter data - Actual weight'!$AF18,F43*'1 Review details'!$D$16),"")</f>
        <v/>
      </c>
      <c r="I43" s="278" t="str">
        <f>IFERROR(IF('2b Enter data - Actual weight'!$E18='Lists - Hidden'!$E$17,'2b Enter data - Actual weight'!$AG18,G43*'1 Review details'!$D$16),"")</f>
        <v/>
      </c>
      <c r="J43" s="144">
        <f t="shared" si="2"/>
        <v>0</v>
      </c>
    </row>
    <row r="44" spans="2:10" x14ac:dyDescent="0.35">
      <c r="B44" s="99">
        <f>'2b Enter data - Actual weight'!B19</f>
        <v>0</v>
      </c>
      <c r="C44" s="273" t="str">
        <f>IFERROR('2b Enter data - Actual weight'!R19,"")</f>
        <v/>
      </c>
      <c r="D44" s="141" t="str">
        <f>IFERROR('2b Enter data - Actual weight'!S19,"")</f>
        <v/>
      </c>
      <c r="E44" s="284"/>
      <c r="F44" s="278" t="str">
        <f>IF('2b Enter data - Actual weight'!$E19='Lists - Hidden'!$E$16,'2b Enter data - Actual weight'!$AF19,"")</f>
        <v/>
      </c>
      <c r="G44" s="278" t="str">
        <f>IF('2b Enter data - Actual weight'!$E19='Lists - Hidden'!$E$16,'2b Enter data - Actual weight'!$AG19,"")</f>
        <v/>
      </c>
      <c r="H44" s="278" t="str">
        <f>IFERROR(IF('2b Enter data - Actual weight'!$E19='Lists - Hidden'!$E$17,'2b Enter data - Actual weight'!$AF19,F44*'1 Review details'!$D$16),"")</f>
        <v/>
      </c>
      <c r="I44" s="278" t="str">
        <f>IFERROR(IF('2b Enter data - Actual weight'!$E19='Lists - Hidden'!$E$17,'2b Enter data - Actual weight'!$AG19,G44*'1 Review details'!$D$16),"")</f>
        <v/>
      </c>
      <c r="J44" s="144">
        <f t="shared" si="2"/>
        <v>0</v>
      </c>
    </row>
    <row r="45" spans="2:10" x14ac:dyDescent="0.35">
      <c r="B45" s="99">
        <f>'2b Enter data - Actual weight'!B20</f>
        <v>0</v>
      </c>
      <c r="C45" s="273" t="str">
        <f>IFERROR('2b Enter data - Actual weight'!R20,"")</f>
        <v/>
      </c>
      <c r="D45" s="141" t="str">
        <f>IFERROR('2b Enter data - Actual weight'!S20,"")</f>
        <v/>
      </c>
      <c r="E45" s="284"/>
      <c r="F45" s="278" t="str">
        <f>IF('2b Enter data - Actual weight'!$E20='Lists - Hidden'!$E$16,'2b Enter data - Actual weight'!$AF20,"")</f>
        <v/>
      </c>
      <c r="G45" s="278" t="str">
        <f>IF('2b Enter data - Actual weight'!$E20='Lists - Hidden'!$E$16,'2b Enter data - Actual weight'!$AG20,"")</f>
        <v/>
      </c>
      <c r="H45" s="278" t="str">
        <f>IFERROR(IF('2b Enter data - Actual weight'!$E20='Lists - Hidden'!$E$17,'2b Enter data - Actual weight'!$AF20,F45*'1 Review details'!$D$16),"")</f>
        <v/>
      </c>
      <c r="I45" s="278" t="str">
        <f>IFERROR(IF('2b Enter data - Actual weight'!$E20='Lists - Hidden'!$E$17,'2b Enter data - Actual weight'!$AG20,G45*'1 Review details'!$D$16),"")</f>
        <v/>
      </c>
      <c r="J45" s="144">
        <f t="shared" si="2"/>
        <v>0</v>
      </c>
    </row>
    <row r="46" spans="2:10" x14ac:dyDescent="0.35">
      <c r="B46" s="99">
        <f>'2b Enter data - Actual weight'!B21</f>
        <v>0</v>
      </c>
      <c r="C46" s="273" t="str">
        <f>IFERROR('2b Enter data - Actual weight'!R21,"")</f>
        <v/>
      </c>
      <c r="D46" s="141" t="str">
        <f>IFERROR('2b Enter data - Actual weight'!S21,"")</f>
        <v/>
      </c>
      <c r="E46" s="284"/>
      <c r="F46" s="278" t="str">
        <f>IF('2b Enter data - Actual weight'!$E21='Lists - Hidden'!$E$16,'2b Enter data - Actual weight'!$AF21,"")</f>
        <v/>
      </c>
      <c r="G46" s="278" t="str">
        <f>IF('2b Enter data - Actual weight'!$E21='Lists - Hidden'!$E$16,'2b Enter data - Actual weight'!$AG21,"")</f>
        <v/>
      </c>
      <c r="H46" s="278" t="str">
        <f>IFERROR(IF('2b Enter data - Actual weight'!$E21='Lists - Hidden'!$E$17,'2b Enter data - Actual weight'!$AF21,F46*'1 Review details'!$D$16),"")</f>
        <v/>
      </c>
      <c r="I46" s="278" t="str">
        <f>IFERROR(IF('2b Enter data - Actual weight'!$E21='Lists - Hidden'!$E$17,'2b Enter data - Actual weight'!$AG21,G46*'1 Review details'!$D$16),"")</f>
        <v/>
      </c>
      <c r="J46" s="144">
        <f t="shared" si="2"/>
        <v>0</v>
      </c>
    </row>
    <row r="47" spans="2:10" x14ac:dyDescent="0.35">
      <c r="B47" s="99">
        <f>'2b Enter data - Actual weight'!B22</f>
        <v>0</v>
      </c>
      <c r="C47" s="273" t="str">
        <f>IFERROR('2b Enter data - Actual weight'!R22,"")</f>
        <v/>
      </c>
      <c r="D47" s="141" t="str">
        <f>IFERROR('2b Enter data - Actual weight'!S22,"")</f>
        <v/>
      </c>
      <c r="E47" s="284"/>
      <c r="F47" s="278" t="str">
        <f>IF('2b Enter data - Actual weight'!$E22='Lists - Hidden'!$E$16,'2b Enter data - Actual weight'!$AF22,"")</f>
        <v/>
      </c>
      <c r="G47" s="278" t="str">
        <f>IF('2b Enter data - Actual weight'!$E22='Lists - Hidden'!$E$16,'2b Enter data - Actual weight'!$AG22,"")</f>
        <v/>
      </c>
      <c r="H47" s="278" t="str">
        <f>IFERROR(IF('2b Enter data - Actual weight'!$E22='Lists - Hidden'!$E$17,'2b Enter data - Actual weight'!$AF22,F47*'1 Review details'!$D$16),"")</f>
        <v/>
      </c>
      <c r="I47" s="278" t="str">
        <f>IFERROR(IF('2b Enter data - Actual weight'!$E22='Lists - Hidden'!$E$17,'2b Enter data - Actual weight'!$AG22,G47*'1 Review details'!$D$16),"")</f>
        <v/>
      </c>
      <c r="J47" s="144">
        <f t="shared" si="2"/>
        <v>0</v>
      </c>
    </row>
    <row r="48" spans="2:10" x14ac:dyDescent="0.35">
      <c r="B48" s="99">
        <f>'2b Enter data - Actual weight'!B23</f>
        <v>0</v>
      </c>
      <c r="C48" s="273" t="str">
        <f>IFERROR('2b Enter data - Actual weight'!R23,"")</f>
        <v/>
      </c>
      <c r="D48" s="141" t="str">
        <f>IFERROR('2b Enter data - Actual weight'!S23,"")</f>
        <v/>
      </c>
      <c r="E48" s="284"/>
      <c r="F48" s="278" t="str">
        <f>IF('2b Enter data - Actual weight'!$E23='Lists - Hidden'!$E$16,'2b Enter data - Actual weight'!$AF23,"")</f>
        <v/>
      </c>
      <c r="G48" s="278" t="str">
        <f>IF('2b Enter data - Actual weight'!$E23='Lists - Hidden'!$E$16,'2b Enter data - Actual weight'!$AG23,"")</f>
        <v/>
      </c>
      <c r="H48" s="278" t="str">
        <f>IFERROR(IF('2b Enter data - Actual weight'!$E23='Lists - Hidden'!$E$17,'2b Enter data - Actual weight'!$AF23,F48*'1 Review details'!$D$16),"")</f>
        <v/>
      </c>
      <c r="I48" s="278" t="str">
        <f>IFERROR(IF('2b Enter data - Actual weight'!$E23='Lists - Hidden'!$E$17,'2b Enter data - Actual weight'!$AG23,G48*'1 Review details'!$D$16),"")</f>
        <v/>
      </c>
      <c r="J48" s="144">
        <f t="shared" si="2"/>
        <v>0</v>
      </c>
    </row>
    <row r="49" spans="2:10" x14ac:dyDescent="0.35">
      <c r="B49" s="99">
        <f>'2b Enter data - Actual weight'!B24</f>
        <v>0</v>
      </c>
      <c r="C49" s="273" t="str">
        <f>IFERROR('2b Enter data - Actual weight'!R24,"")</f>
        <v/>
      </c>
      <c r="D49" s="141" t="str">
        <f>IFERROR('2b Enter data - Actual weight'!S24,"")</f>
        <v/>
      </c>
      <c r="E49" s="284"/>
      <c r="F49" s="278" t="str">
        <f>IF('2b Enter data - Actual weight'!$E24='Lists - Hidden'!$E$16,'2b Enter data - Actual weight'!$AF24,"")</f>
        <v/>
      </c>
      <c r="G49" s="278" t="str">
        <f>IF('2b Enter data - Actual weight'!$E24='Lists - Hidden'!$E$16,'2b Enter data - Actual weight'!$AG24,"")</f>
        <v/>
      </c>
      <c r="H49" s="278" t="str">
        <f>IFERROR(IF('2b Enter data - Actual weight'!$E24='Lists - Hidden'!$E$17,'2b Enter data - Actual weight'!$AF24,F49*'1 Review details'!$D$16),"")</f>
        <v/>
      </c>
      <c r="I49" s="278" t="str">
        <f>IFERROR(IF('2b Enter data - Actual weight'!$E24='Lists - Hidden'!$E$17,'2b Enter data - Actual weight'!$AG24,G49*'1 Review details'!$D$16),"")</f>
        <v/>
      </c>
      <c r="J49" s="144">
        <f t="shared" si="2"/>
        <v>0</v>
      </c>
    </row>
    <row r="50" spans="2:10" x14ac:dyDescent="0.35">
      <c r="B50" s="99">
        <f>'2b Enter data - Actual weight'!B25</f>
        <v>0</v>
      </c>
      <c r="C50" s="273" t="str">
        <f>IFERROR('2b Enter data - Actual weight'!R25,"")</f>
        <v/>
      </c>
      <c r="D50" s="141" t="str">
        <f>IFERROR('2b Enter data - Actual weight'!S25,"")</f>
        <v/>
      </c>
      <c r="E50" s="284"/>
      <c r="F50" s="278" t="str">
        <f>IF('2b Enter data - Actual weight'!$E25='Lists - Hidden'!$E$16,'2b Enter data - Actual weight'!$AF25,"")</f>
        <v/>
      </c>
      <c r="G50" s="278" t="str">
        <f>IF('2b Enter data - Actual weight'!$E25='Lists - Hidden'!$E$16,'2b Enter data - Actual weight'!$AG25,"")</f>
        <v/>
      </c>
      <c r="H50" s="278" t="str">
        <f>IFERROR(IF('2b Enter data - Actual weight'!$E25='Lists - Hidden'!$E$17,'2b Enter data - Actual weight'!$AF25,F50*'1 Review details'!$D$16),"")</f>
        <v/>
      </c>
      <c r="I50" s="278" t="str">
        <f>IFERROR(IF('2b Enter data - Actual weight'!$E25='Lists - Hidden'!$E$17,'2b Enter data - Actual weight'!$AG25,G50*'1 Review details'!$D$16),"")</f>
        <v/>
      </c>
      <c r="J50" s="144">
        <f t="shared" si="2"/>
        <v>0</v>
      </c>
    </row>
    <row r="51" spans="2:10" x14ac:dyDescent="0.35">
      <c r="B51" s="99">
        <f>'2b Enter data - Actual weight'!B26</f>
        <v>0</v>
      </c>
      <c r="C51" s="273" t="str">
        <f>IFERROR('2b Enter data - Actual weight'!R26,"")</f>
        <v/>
      </c>
      <c r="D51" s="141" t="str">
        <f>IFERROR('2b Enter data - Actual weight'!S26,"")</f>
        <v/>
      </c>
      <c r="E51" s="284"/>
      <c r="F51" s="278" t="str">
        <f>IF('2b Enter data - Actual weight'!$E26='Lists - Hidden'!$E$16,'2b Enter data - Actual weight'!$AF26,"")</f>
        <v/>
      </c>
      <c r="G51" s="278" t="str">
        <f>IF('2b Enter data - Actual weight'!$E26='Lists - Hidden'!$E$16,'2b Enter data - Actual weight'!$AG26,"")</f>
        <v/>
      </c>
      <c r="H51" s="278" t="str">
        <f>IFERROR(IF('2b Enter data - Actual weight'!$E26='Lists - Hidden'!$E$17,'2b Enter data - Actual weight'!$AF26,F51*'1 Review details'!$D$16),"")</f>
        <v/>
      </c>
      <c r="I51" s="278" t="str">
        <f>IFERROR(IF('2b Enter data - Actual weight'!$E26='Lists - Hidden'!$E$17,'2b Enter data - Actual weight'!$AG26,G51*'1 Review details'!$D$16),"")</f>
        <v/>
      </c>
      <c r="J51" s="144">
        <f t="shared" si="2"/>
        <v>0</v>
      </c>
    </row>
    <row r="52" spans="2:10" x14ac:dyDescent="0.35">
      <c r="B52" s="99">
        <f>'2b Enter data - Actual weight'!B27</f>
        <v>0</v>
      </c>
      <c r="C52" s="273" t="str">
        <f>IFERROR('2b Enter data - Actual weight'!R27,"")</f>
        <v/>
      </c>
      <c r="D52" s="141" t="str">
        <f>IFERROR('2b Enter data - Actual weight'!S27,"")</f>
        <v/>
      </c>
      <c r="E52" s="284"/>
      <c r="F52" s="278" t="str">
        <f>IF('2b Enter data - Actual weight'!$E27='Lists - Hidden'!$E$16,'2b Enter data - Actual weight'!$AF27,"")</f>
        <v/>
      </c>
      <c r="G52" s="278" t="str">
        <f>IF('2b Enter data - Actual weight'!$E27='Lists - Hidden'!$E$16,'2b Enter data - Actual weight'!$AG27,"")</f>
        <v/>
      </c>
      <c r="H52" s="278" t="str">
        <f>IFERROR(IF('2b Enter data - Actual weight'!$E27='Lists - Hidden'!$E$17,'2b Enter data - Actual weight'!$AF27,F52*'1 Review details'!$D$16),"")</f>
        <v/>
      </c>
      <c r="I52" s="278" t="str">
        <f>IFERROR(IF('2b Enter data - Actual weight'!$E27='Lists - Hidden'!$E$17,'2b Enter data - Actual weight'!$AG27,G52*'1 Review details'!$D$16),"")</f>
        <v/>
      </c>
      <c r="J52" s="144">
        <f t="shared" si="2"/>
        <v>0</v>
      </c>
    </row>
    <row r="55" spans="2:10" ht="48" x14ac:dyDescent="0.35">
      <c r="B55" s="250" t="s">
        <v>10</v>
      </c>
      <c r="D55" s="268" t="s">
        <v>118</v>
      </c>
      <c r="E55" s="297" t="s">
        <v>302</v>
      </c>
      <c r="F55" s="413" t="s">
        <v>292</v>
      </c>
      <c r="G55" s="413"/>
      <c r="H55" s="413" t="s">
        <v>113</v>
      </c>
      <c r="I55" s="413"/>
      <c r="J55" s="413"/>
    </row>
    <row r="56" spans="2:10" ht="22.5" x14ac:dyDescent="0.35">
      <c r="B56" s="250"/>
      <c r="D56" s="268"/>
      <c r="E56" s="297"/>
      <c r="F56" s="286" t="s">
        <v>299</v>
      </c>
      <c r="G56" s="286" t="s">
        <v>301</v>
      </c>
      <c r="H56" s="286" t="s">
        <v>299</v>
      </c>
      <c r="I56" s="286" t="s">
        <v>301</v>
      </c>
      <c r="J56" s="287" t="s">
        <v>10</v>
      </c>
    </row>
    <row r="57" spans="2:10" x14ac:dyDescent="0.35">
      <c r="B57" s="213" t="s">
        <v>134</v>
      </c>
      <c r="C57" s="271" t="s">
        <v>12</v>
      </c>
      <c r="D57" s="294">
        <f t="shared" ref="D57:D81" si="3">SUMIF($B$7:$B$52,$B57,$D$7:$D$52)</f>
        <v>0</v>
      </c>
      <c r="E57" s="280" t="str">
        <f>IF(D57&gt;0,"Y","N")</f>
        <v>N</v>
      </c>
      <c r="F57" s="288">
        <f t="shared" ref="F57:F81" si="4">SUMIF($B$7:$B$52,$B57,$F$7:$F$52)</f>
        <v>0</v>
      </c>
      <c r="G57" s="288">
        <f t="shared" ref="G57:G81" si="5">SUMIF($B$7:$B$52,$B57,$G$7:$G$52)</f>
        <v>0</v>
      </c>
      <c r="H57" s="288">
        <f t="shared" ref="H57:H81" si="6">SUMIF($B$7:$B$52,$B57,$H$7:$H$52)</f>
        <v>0</v>
      </c>
      <c r="I57" s="288">
        <f t="shared" ref="I57:I81" si="7">SUMIF($B$7:$B$52,$B57,$I$7:$I$52)</f>
        <v>0</v>
      </c>
      <c r="J57" s="288">
        <f t="shared" ref="J57:J81" si="8">SUMIF($B$7:$B$52,$B57,$J$7:$J$52)</f>
        <v>0</v>
      </c>
    </row>
    <row r="58" spans="2:10" x14ac:dyDescent="0.35">
      <c r="B58" s="213" t="s">
        <v>135</v>
      </c>
      <c r="C58" s="271" t="s">
        <v>12</v>
      </c>
      <c r="D58" s="294">
        <f t="shared" si="3"/>
        <v>0</v>
      </c>
      <c r="E58" s="280" t="str">
        <f t="shared" ref="E58:E81" si="9">IF(D58&gt;0,"Y","N")</f>
        <v>N</v>
      </c>
      <c r="F58" s="288">
        <f t="shared" si="4"/>
        <v>0</v>
      </c>
      <c r="G58" s="288">
        <f t="shared" si="5"/>
        <v>0</v>
      </c>
      <c r="H58" s="288">
        <f t="shared" si="6"/>
        <v>0</v>
      </c>
      <c r="I58" s="288">
        <f t="shared" si="7"/>
        <v>0</v>
      </c>
      <c r="J58" s="288">
        <f t="shared" si="8"/>
        <v>0</v>
      </c>
    </row>
    <row r="59" spans="2:10" x14ac:dyDescent="0.35">
      <c r="B59" s="214" t="s">
        <v>206</v>
      </c>
      <c r="C59" s="271" t="s">
        <v>12</v>
      </c>
      <c r="D59" s="294">
        <f t="shared" si="3"/>
        <v>0</v>
      </c>
      <c r="E59" s="280" t="str">
        <f t="shared" si="9"/>
        <v>N</v>
      </c>
      <c r="F59" s="288">
        <f t="shared" si="4"/>
        <v>0</v>
      </c>
      <c r="G59" s="288">
        <f t="shared" si="5"/>
        <v>0</v>
      </c>
      <c r="H59" s="288">
        <f t="shared" si="6"/>
        <v>0</v>
      </c>
      <c r="I59" s="288">
        <f t="shared" si="7"/>
        <v>0</v>
      </c>
      <c r="J59" s="288">
        <f t="shared" si="8"/>
        <v>0</v>
      </c>
    </row>
    <row r="60" spans="2:10" x14ac:dyDescent="0.35">
      <c r="B60" s="214" t="s">
        <v>153</v>
      </c>
      <c r="C60" s="271" t="s">
        <v>54</v>
      </c>
      <c r="D60" s="294">
        <f t="shared" si="3"/>
        <v>0</v>
      </c>
      <c r="E60" s="280" t="str">
        <f t="shared" si="9"/>
        <v>N</v>
      </c>
      <c r="F60" s="288">
        <f t="shared" si="4"/>
        <v>0</v>
      </c>
      <c r="G60" s="288">
        <f t="shared" si="5"/>
        <v>0</v>
      </c>
      <c r="H60" s="288">
        <f t="shared" si="6"/>
        <v>0</v>
      </c>
      <c r="I60" s="288">
        <f t="shared" si="7"/>
        <v>0</v>
      </c>
      <c r="J60" s="288">
        <f t="shared" si="8"/>
        <v>0</v>
      </c>
    </row>
    <row r="61" spans="2:10" x14ac:dyDescent="0.35">
      <c r="B61" s="214" t="s">
        <v>96</v>
      </c>
      <c r="C61" s="271" t="s">
        <v>12</v>
      </c>
      <c r="D61" s="294">
        <f t="shared" si="3"/>
        <v>0</v>
      </c>
      <c r="E61" s="280" t="str">
        <f t="shared" si="9"/>
        <v>N</v>
      </c>
      <c r="F61" s="288">
        <f t="shared" si="4"/>
        <v>0</v>
      </c>
      <c r="G61" s="288">
        <f t="shared" si="5"/>
        <v>0</v>
      </c>
      <c r="H61" s="288">
        <f t="shared" si="6"/>
        <v>0</v>
      </c>
      <c r="I61" s="288">
        <f t="shared" si="7"/>
        <v>0</v>
      </c>
      <c r="J61" s="288">
        <f t="shared" si="8"/>
        <v>0</v>
      </c>
    </row>
    <row r="62" spans="2:10" x14ac:dyDescent="0.35">
      <c r="B62" s="214" t="s">
        <v>204</v>
      </c>
      <c r="C62" s="271" t="s">
        <v>12</v>
      </c>
      <c r="D62" s="294">
        <f t="shared" si="3"/>
        <v>0</v>
      </c>
      <c r="E62" s="280" t="str">
        <f t="shared" si="9"/>
        <v>N</v>
      </c>
      <c r="F62" s="288">
        <f t="shared" si="4"/>
        <v>0</v>
      </c>
      <c r="G62" s="288">
        <f t="shared" si="5"/>
        <v>0</v>
      </c>
      <c r="H62" s="288">
        <f t="shared" si="6"/>
        <v>0</v>
      </c>
      <c r="I62" s="288">
        <f t="shared" si="7"/>
        <v>0</v>
      </c>
      <c r="J62" s="288">
        <f t="shared" si="8"/>
        <v>0</v>
      </c>
    </row>
    <row r="63" spans="2:10" x14ac:dyDescent="0.35">
      <c r="B63" s="214" t="s">
        <v>130</v>
      </c>
      <c r="C63" s="271" t="s">
        <v>54</v>
      </c>
      <c r="D63" s="294">
        <f t="shared" si="3"/>
        <v>0</v>
      </c>
      <c r="E63" s="280" t="str">
        <f t="shared" si="9"/>
        <v>N</v>
      </c>
      <c r="F63" s="288">
        <f t="shared" si="4"/>
        <v>0</v>
      </c>
      <c r="G63" s="288">
        <f t="shared" si="5"/>
        <v>0</v>
      </c>
      <c r="H63" s="288">
        <f t="shared" si="6"/>
        <v>0</v>
      </c>
      <c r="I63" s="288">
        <f t="shared" si="7"/>
        <v>0</v>
      </c>
      <c r="J63" s="288">
        <f t="shared" si="8"/>
        <v>0</v>
      </c>
    </row>
    <row r="64" spans="2:10" x14ac:dyDescent="0.35">
      <c r="B64" s="214" t="s">
        <v>139</v>
      </c>
      <c r="C64" s="271" t="s">
        <v>12</v>
      </c>
      <c r="D64" s="294">
        <f t="shared" si="3"/>
        <v>0</v>
      </c>
      <c r="E64" s="280" t="str">
        <f t="shared" si="9"/>
        <v>N</v>
      </c>
      <c r="F64" s="288">
        <f t="shared" si="4"/>
        <v>0</v>
      </c>
      <c r="G64" s="288">
        <f t="shared" si="5"/>
        <v>0</v>
      </c>
      <c r="H64" s="288">
        <f t="shared" si="6"/>
        <v>0</v>
      </c>
      <c r="I64" s="288">
        <f t="shared" si="7"/>
        <v>0</v>
      </c>
      <c r="J64" s="288">
        <f t="shared" si="8"/>
        <v>0</v>
      </c>
    </row>
    <row r="65" spans="2:10" x14ac:dyDescent="0.35">
      <c r="B65" s="214" t="s">
        <v>140</v>
      </c>
      <c r="C65" s="271" t="s">
        <v>1</v>
      </c>
      <c r="D65" s="294">
        <f t="shared" si="3"/>
        <v>0</v>
      </c>
      <c r="E65" s="280" t="str">
        <f t="shared" si="9"/>
        <v>N</v>
      </c>
      <c r="F65" s="288">
        <f t="shared" si="4"/>
        <v>0</v>
      </c>
      <c r="G65" s="288">
        <f t="shared" si="5"/>
        <v>0</v>
      </c>
      <c r="H65" s="288">
        <f t="shared" si="6"/>
        <v>0</v>
      </c>
      <c r="I65" s="288">
        <f t="shared" si="7"/>
        <v>0</v>
      </c>
      <c r="J65" s="288">
        <f t="shared" si="8"/>
        <v>0</v>
      </c>
    </row>
    <row r="66" spans="2:10" x14ac:dyDescent="0.35">
      <c r="B66" s="214" t="s">
        <v>136</v>
      </c>
      <c r="C66" s="271" t="s">
        <v>12</v>
      </c>
      <c r="D66" s="294">
        <f t="shared" si="3"/>
        <v>0</v>
      </c>
      <c r="E66" s="280" t="str">
        <f t="shared" si="9"/>
        <v>N</v>
      </c>
      <c r="F66" s="288">
        <f t="shared" si="4"/>
        <v>0</v>
      </c>
      <c r="G66" s="288">
        <f t="shared" si="5"/>
        <v>0</v>
      </c>
      <c r="H66" s="288">
        <f t="shared" si="6"/>
        <v>0</v>
      </c>
      <c r="I66" s="288">
        <f t="shared" si="7"/>
        <v>0</v>
      </c>
      <c r="J66" s="288">
        <f t="shared" si="8"/>
        <v>0</v>
      </c>
    </row>
    <row r="67" spans="2:10" x14ac:dyDescent="0.35">
      <c r="B67" s="214" t="s">
        <v>127</v>
      </c>
      <c r="C67" s="271" t="s">
        <v>11</v>
      </c>
      <c r="D67" s="294">
        <f t="shared" si="3"/>
        <v>0</v>
      </c>
      <c r="E67" s="280" t="str">
        <f t="shared" si="9"/>
        <v>N</v>
      </c>
      <c r="F67" s="288">
        <f t="shared" si="4"/>
        <v>0</v>
      </c>
      <c r="G67" s="288">
        <f t="shared" si="5"/>
        <v>0</v>
      </c>
      <c r="H67" s="288">
        <f t="shared" si="6"/>
        <v>0</v>
      </c>
      <c r="I67" s="288">
        <f t="shared" si="7"/>
        <v>0</v>
      </c>
      <c r="J67" s="288">
        <f t="shared" si="8"/>
        <v>0</v>
      </c>
    </row>
    <row r="68" spans="2:10" x14ac:dyDescent="0.35">
      <c r="B68" s="214" t="s">
        <v>141</v>
      </c>
      <c r="C68" s="271" t="s">
        <v>11</v>
      </c>
      <c r="D68" s="294">
        <f t="shared" si="3"/>
        <v>0</v>
      </c>
      <c r="E68" s="280" t="str">
        <f t="shared" si="9"/>
        <v>N</v>
      </c>
      <c r="F68" s="288">
        <f t="shared" si="4"/>
        <v>0</v>
      </c>
      <c r="G68" s="288">
        <f t="shared" si="5"/>
        <v>0</v>
      </c>
      <c r="H68" s="288">
        <f t="shared" si="6"/>
        <v>0</v>
      </c>
      <c r="I68" s="288">
        <f t="shared" si="7"/>
        <v>0</v>
      </c>
      <c r="J68" s="288">
        <f t="shared" si="8"/>
        <v>0</v>
      </c>
    </row>
    <row r="69" spans="2:10" x14ac:dyDescent="0.35">
      <c r="B69" s="214" t="s">
        <v>133</v>
      </c>
      <c r="C69" s="271" t="s">
        <v>54</v>
      </c>
      <c r="D69" s="294">
        <f t="shared" si="3"/>
        <v>0</v>
      </c>
      <c r="E69" s="280" t="str">
        <f t="shared" si="9"/>
        <v>N</v>
      </c>
      <c r="F69" s="288">
        <f t="shared" si="4"/>
        <v>0</v>
      </c>
      <c r="G69" s="288">
        <f t="shared" si="5"/>
        <v>0</v>
      </c>
      <c r="H69" s="288">
        <f t="shared" si="6"/>
        <v>0</v>
      </c>
      <c r="I69" s="288">
        <f t="shared" si="7"/>
        <v>0</v>
      </c>
      <c r="J69" s="288">
        <f t="shared" si="8"/>
        <v>0</v>
      </c>
    </row>
    <row r="70" spans="2:10" x14ac:dyDescent="0.35">
      <c r="B70" s="214" t="s">
        <v>132</v>
      </c>
      <c r="C70" s="271" t="s">
        <v>1</v>
      </c>
      <c r="D70" s="294">
        <f t="shared" si="3"/>
        <v>0</v>
      </c>
      <c r="E70" s="280" t="str">
        <f t="shared" si="9"/>
        <v>N</v>
      </c>
      <c r="F70" s="288">
        <f t="shared" si="4"/>
        <v>0</v>
      </c>
      <c r="G70" s="288">
        <f t="shared" si="5"/>
        <v>0</v>
      </c>
      <c r="H70" s="288">
        <f t="shared" si="6"/>
        <v>0</v>
      </c>
      <c r="I70" s="288">
        <f t="shared" si="7"/>
        <v>0</v>
      </c>
      <c r="J70" s="288">
        <f t="shared" si="8"/>
        <v>0</v>
      </c>
    </row>
    <row r="71" spans="2:10" x14ac:dyDescent="0.35">
      <c r="B71" s="214" t="s">
        <v>201</v>
      </c>
      <c r="C71" s="271" t="s">
        <v>12</v>
      </c>
      <c r="D71" s="294">
        <f t="shared" si="3"/>
        <v>0</v>
      </c>
      <c r="E71" s="280" t="str">
        <f t="shared" si="9"/>
        <v>N</v>
      </c>
      <c r="F71" s="288">
        <f t="shared" si="4"/>
        <v>0</v>
      </c>
      <c r="G71" s="288">
        <f t="shared" si="5"/>
        <v>0</v>
      </c>
      <c r="H71" s="288">
        <f t="shared" si="6"/>
        <v>0</v>
      </c>
      <c r="I71" s="288">
        <f t="shared" si="7"/>
        <v>0</v>
      </c>
      <c r="J71" s="288">
        <f t="shared" si="8"/>
        <v>0</v>
      </c>
    </row>
    <row r="72" spans="2:10" x14ac:dyDescent="0.35">
      <c r="B72" s="214" t="s">
        <v>207</v>
      </c>
      <c r="C72" s="271" t="s">
        <v>12</v>
      </c>
      <c r="D72" s="294">
        <f t="shared" si="3"/>
        <v>0</v>
      </c>
      <c r="E72" s="280" t="str">
        <f t="shared" si="9"/>
        <v>N</v>
      </c>
      <c r="F72" s="288">
        <f t="shared" si="4"/>
        <v>0</v>
      </c>
      <c r="G72" s="288">
        <f t="shared" si="5"/>
        <v>0</v>
      </c>
      <c r="H72" s="288">
        <f t="shared" si="6"/>
        <v>0</v>
      </c>
      <c r="I72" s="288">
        <f t="shared" si="7"/>
        <v>0</v>
      </c>
      <c r="J72" s="288">
        <f t="shared" si="8"/>
        <v>0</v>
      </c>
    </row>
    <row r="73" spans="2:10" x14ac:dyDescent="0.35">
      <c r="B73" s="214" t="s">
        <v>167</v>
      </c>
      <c r="C73" s="271" t="s">
        <v>12</v>
      </c>
      <c r="D73" s="294">
        <f t="shared" si="3"/>
        <v>0</v>
      </c>
      <c r="E73" s="280" t="str">
        <f t="shared" si="9"/>
        <v>N</v>
      </c>
      <c r="F73" s="288">
        <f t="shared" si="4"/>
        <v>0</v>
      </c>
      <c r="G73" s="288">
        <f t="shared" si="5"/>
        <v>0</v>
      </c>
      <c r="H73" s="288">
        <f t="shared" si="6"/>
        <v>0</v>
      </c>
      <c r="I73" s="288">
        <f t="shared" si="7"/>
        <v>0</v>
      </c>
      <c r="J73" s="288">
        <f t="shared" si="8"/>
        <v>0</v>
      </c>
    </row>
    <row r="74" spans="2:10" x14ac:dyDescent="0.35">
      <c r="B74" s="214" t="s">
        <v>138</v>
      </c>
      <c r="C74" s="271" t="s">
        <v>12</v>
      </c>
      <c r="D74" s="294">
        <f t="shared" si="3"/>
        <v>0</v>
      </c>
      <c r="E74" s="280" t="str">
        <f t="shared" si="9"/>
        <v>N</v>
      </c>
      <c r="F74" s="288">
        <f t="shared" si="4"/>
        <v>0</v>
      </c>
      <c r="G74" s="288">
        <f t="shared" si="5"/>
        <v>0</v>
      </c>
      <c r="H74" s="288">
        <f t="shared" si="6"/>
        <v>0</v>
      </c>
      <c r="I74" s="288">
        <f t="shared" si="7"/>
        <v>0</v>
      </c>
      <c r="J74" s="288">
        <f t="shared" si="8"/>
        <v>0</v>
      </c>
    </row>
    <row r="75" spans="2:10" x14ac:dyDescent="0.35">
      <c r="B75" s="214" t="s">
        <v>144</v>
      </c>
      <c r="C75" s="271" t="s">
        <v>12</v>
      </c>
      <c r="D75" s="294">
        <f t="shared" si="3"/>
        <v>0</v>
      </c>
      <c r="E75" s="280" t="str">
        <f t="shared" si="9"/>
        <v>N</v>
      </c>
      <c r="F75" s="288">
        <f t="shared" si="4"/>
        <v>0</v>
      </c>
      <c r="G75" s="288">
        <f t="shared" si="5"/>
        <v>0</v>
      </c>
      <c r="H75" s="288">
        <f t="shared" si="6"/>
        <v>0</v>
      </c>
      <c r="I75" s="288">
        <f t="shared" si="7"/>
        <v>0</v>
      </c>
      <c r="J75" s="288">
        <f t="shared" si="8"/>
        <v>0</v>
      </c>
    </row>
    <row r="76" spans="2:10" x14ac:dyDescent="0.35">
      <c r="B76" s="214" t="s">
        <v>145</v>
      </c>
      <c r="C76" s="271" t="s">
        <v>54</v>
      </c>
      <c r="D76" s="294">
        <f t="shared" si="3"/>
        <v>0</v>
      </c>
      <c r="E76" s="280" t="str">
        <f t="shared" si="9"/>
        <v>N</v>
      </c>
      <c r="F76" s="288">
        <f t="shared" si="4"/>
        <v>0</v>
      </c>
      <c r="G76" s="288">
        <f t="shared" si="5"/>
        <v>0</v>
      </c>
      <c r="H76" s="288">
        <f t="shared" si="6"/>
        <v>0</v>
      </c>
      <c r="I76" s="288">
        <f t="shared" si="7"/>
        <v>0</v>
      </c>
      <c r="J76" s="288">
        <f t="shared" si="8"/>
        <v>0</v>
      </c>
    </row>
    <row r="77" spans="2:10" x14ac:dyDescent="0.35">
      <c r="B77" s="215" t="str">
        <f>'2a Enter data - Est. Volumes'!B34</f>
        <v>Enter custom waste/recycling stream</v>
      </c>
      <c r="C77" s="272" t="e">
        <f>VLOOKUP(B77,'Lists - Hidden'!$C$54:$E$58,3,FALSE)</f>
        <v>#N/A</v>
      </c>
      <c r="D77" s="295">
        <f t="shared" si="3"/>
        <v>0</v>
      </c>
      <c r="E77" s="280" t="str">
        <f t="shared" si="9"/>
        <v>N</v>
      </c>
      <c r="F77" s="288">
        <f t="shared" si="4"/>
        <v>0</v>
      </c>
      <c r="G77" s="288">
        <f t="shared" si="5"/>
        <v>0</v>
      </c>
      <c r="H77" s="288">
        <f t="shared" si="6"/>
        <v>0</v>
      </c>
      <c r="I77" s="288">
        <f t="shared" si="7"/>
        <v>0</v>
      </c>
      <c r="J77" s="288">
        <f t="shared" si="8"/>
        <v>0</v>
      </c>
    </row>
    <row r="78" spans="2:10" x14ac:dyDescent="0.35">
      <c r="B78" s="215" t="str">
        <f>'2a Enter data - Est. Volumes'!B35</f>
        <v>Enter custom waste/recycling stream</v>
      </c>
      <c r="C78" s="272" t="e">
        <f>VLOOKUP(B78,'Lists - Hidden'!$C$54:$E$58,3,FALSE)</f>
        <v>#N/A</v>
      </c>
      <c r="D78" s="295">
        <f t="shared" si="3"/>
        <v>0</v>
      </c>
      <c r="E78" s="280" t="str">
        <f t="shared" si="9"/>
        <v>N</v>
      </c>
      <c r="F78" s="288">
        <f t="shared" si="4"/>
        <v>0</v>
      </c>
      <c r="G78" s="288">
        <f t="shared" si="5"/>
        <v>0</v>
      </c>
      <c r="H78" s="288">
        <f t="shared" si="6"/>
        <v>0</v>
      </c>
      <c r="I78" s="288">
        <f t="shared" si="7"/>
        <v>0</v>
      </c>
      <c r="J78" s="288">
        <f t="shared" si="8"/>
        <v>0</v>
      </c>
    </row>
    <row r="79" spans="2:10" x14ac:dyDescent="0.35">
      <c r="B79" s="215" t="str">
        <f>'2a Enter data - Est. Volumes'!B36</f>
        <v>Enter custom waste/recycling stream</v>
      </c>
      <c r="C79" s="272" t="e">
        <f>VLOOKUP(B79,'Lists - Hidden'!$C$54:$E$58,3,FALSE)</f>
        <v>#N/A</v>
      </c>
      <c r="D79" s="295">
        <f t="shared" si="3"/>
        <v>0</v>
      </c>
      <c r="E79" s="280" t="str">
        <f t="shared" si="9"/>
        <v>N</v>
      </c>
      <c r="F79" s="288">
        <f t="shared" si="4"/>
        <v>0</v>
      </c>
      <c r="G79" s="288">
        <f t="shared" si="5"/>
        <v>0</v>
      </c>
      <c r="H79" s="288">
        <f t="shared" si="6"/>
        <v>0</v>
      </c>
      <c r="I79" s="288">
        <f t="shared" si="7"/>
        <v>0</v>
      </c>
      <c r="J79" s="288">
        <f t="shared" si="8"/>
        <v>0</v>
      </c>
    </row>
    <row r="80" spans="2:10" x14ac:dyDescent="0.35">
      <c r="B80" s="215" t="str">
        <f>'2a Enter data - Est. Volumes'!B37</f>
        <v>Enter custom waste/recycling stream</v>
      </c>
      <c r="C80" s="272" t="e">
        <f>VLOOKUP(B80,'Lists - Hidden'!$C$54:$E$58,3,FALSE)</f>
        <v>#N/A</v>
      </c>
      <c r="D80" s="295">
        <f t="shared" si="3"/>
        <v>0</v>
      </c>
      <c r="E80" s="280" t="str">
        <f t="shared" si="9"/>
        <v>N</v>
      </c>
      <c r="F80" s="288">
        <f t="shared" si="4"/>
        <v>0</v>
      </c>
      <c r="G80" s="288">
        <f t="shared" si="5"/>
        <v>0</v>
      </c>
      <c r="H80" s="288">
        <f t="shared" si="6"/>
        <v>0</v>
      </c>
      <c r="I80" s="288">
        <f t="shared" si="7"/>
        <v>0</v>
      </c>
      <c r="J80" s="288">
        <f t="shared" si="8"/>
        <v>0</v>
      </c>
    </row>
    <row r="81" spans="2:10" x14ac:dyDescent="0.35">
      <c r="B81" s="215" t="str">
        <f>'2a Enter data - Est. Volumes'!B38</f>
        <v>Enter custom waste/recycling stream</v>
      </c>
      <c r="C81" s="272" t="e">
        <f>VLOOKUP(B81,'Lists - Hidden'!$C$54:$E$58,3,FALSE)</f>
        <v>#N/A</v>
      </c>
      <c r="D81" s="295">
        <f t="shared" si="3"/>
        <v>0</v>
      </c>
      <c r="E81" s="280" t="str">
        <f t="shared" si="9"/>
        <v>N</v>
      </c>
      <c r="F81" s="288">
        <f t="shared" si="4"/>
        <v>0</v>
      </c>
      <c r="G81" s="288">
        <f t="shared" si="5"/>
        <v>0</v>
      </c>
      <c r="H81" s="288">
        <f t="shared" si="6"/>
        <v>0</v>
      </c>
      <c r="I81" s="288">
        <f t="shared" si="7"/>
        <v>0</v>
      </c>
      <c r="J81" s="288">
        <f t="shared" si="8"/>
        <v>0</v>
      </c>
    </row>
    <row r="82" spans="2:10" ht="20" customHeight="1" x14ac:dyDescent="0.35">
      <c r="D82" s="296">
        <f>SUM(D57:D81)</f>
        <v>0</v>
      </c>
      <c r="E82" s="21"/>
      <c r="F82" s="289">
        <f t="shared" ref="F82:G82" si="10">SUM(F57:F81)</f>
        <v>0</v>
      </c>
      <c r="G82" s="289">
        <f t="shared" si="10"/>
        <v>0</v>
      </c>
      <c r="H82" s="289">
        <f>SUM(H57:H81)</f>
        <v>0</v>
      </c>
      <c r="I82" s="289">
        <f>SUM(I57:I81)</f>
        <v>0</v>
      </c>
      <c r="J82" s="289">
        <f>SUM(J57:J81)</f>
        <v>0</v>
      </c>
    </row>
  </sheetData>
  <sheetProtection selectLockedCells="1"/>
  <mergeCells count="2">
    <mergeCell ref="H55:J55"/>
    <mergeCell ref="F55:G55"/>
  </mergeCells>
  <conditionalFormatting sqref="B33:B52">
    <cfRule type="notContainsBlanks" dxfId="9" priority="30">
      <formula>LEN(TRIM(B33))&gt;0</formula>
    </cfRule>
  </conditionalFormatting>
  <conditionalFormatting sqref="B77:D81">
    <cfRule type="containsText" dxfId="8" priority="25" operator="containsText" text="Enter custom waste/recycling stream">
      <formula>NOT(ISERROR(SEARCH("Enter custom waste/recycling stream",B77)))</formula>
    </cfRule>
  </conditionalFormatting>
  <conditionalFormatting sqref="C33:C52">
    <cfRule type="cellIs" dxfId="7" priority="24" operator="equal">
      <formula>0</formula>
    </cfRule>
  </conditionalFormatting>
  <conditionalFormatting sqref="C7:E7 E8:E20 C8:D26 E22:E26">
    <cfRule type="cellIs" dxfId="6" priority="31" operator="equal">
      <formula>0</formula>
    </cfRule>
  </conditionalFormatting>
  <conditionalFormatting sqref="D82">
    <cfRule type="containsText" dxfId="5" priority="3" operator="containsText" text="Enter custom waste/recycling stream">
      <formula>NOT(ISERROR(SEARCH("Enter custom waste/recycling stream",D82)))</formula>
    </cfRule>
  </conditionalFormatting>
  <conditionalFormatting sqref="D33:E52">
    <cfRule type="cellIs" dxfId="4" priority="26" operator="equal">
      <formula>0</formula>
    </cfRule>
  </conditionalFormatting>
  <conditionalFormatting sqref="F7:I26">
    <cfRule type="notContainsBlanks" dxfId="3" priority="2">
      <formula>LEN(TRIM(F7))&gt;0</formula>
    </cfRule>
  </conditionalFormatting>
  <conditionalFormatting sqref="F33:I52">
    <cfRule type="notContainsBlanks" dxfId="2" priority="1">
      <formula>LEN(TRIM(F33))&gt;0</formula>
    </cfRule>
  </conditionalFormatting>
  <conditionalFormatting sqref="J7:J26">
    <cfRule type="cellIs" dxfId="1" priority="5" operator="equal">
      <formula>0</formula>
    </cfRule>
  </conditionalFormatting>
  <conditionalFormatting sqref="J33:J52">
    <cfRule type="cellIs" dxfId="0" priority="9" operator="equal">
      <formula>0</formula>
    </cfRule>
  </conditionalFormatting>
  <pageMargins left="0.7" right="0.7" top="0.75" bottom="0.75" header="0.3" footer="0.3"/>
  <pageSetup paperSize="9" orientation="portrait" horizontalDpi="4294967295" verticalDpi="4294967295" r:id="rId1"/>
  <ignoredErrors>
    <ignoredError sqref="B7:B27 F8:F26 F33:G52 F7 H8:H26 H33:I52 H7 G7:G26 I7:I26"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13ef601-58df-40e9-a5ec-e66aed11625b" xsi:nil="true"/>
    <lcf76f155ced4ddcb4097134ff3c332f xmlns="821ab64e-2cd8-47f9-aa11-8cd9fa442d0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0F59724343E44409709E3E0688EC116" ma:contentTypeVersion="19" ma:contentTypeDescription="Create a new document." ma:contentTypeScope="" ma:versionID="7e95ba1a9e5cd4d3e8eacbb78127a4d8">
  <xsd:schema xmlns:xsd="http://www.w3.org/2001/XMLSchema" xmlns:xs="http://www.w3.org/2001/XMLSchema" xmlns:p="http://schemas.microsoft.com/office/2006/metadata/properties" xmlns:ns2="013ef601-58df-40e9-a5ec-e66aed11625b" xmlns:ns3="821ab64e-2cd8-47f9-aa11-8cd9fa442d06" targetNamespace="http://schemas.microsoft.com/office/2006/metadata/properties" ma:root="true" ma:fieldsID="16592b083cd7a7596c3deb53400ac3c9" ns2:_="" ns3:_="">
    <xsd:import namespace="013ef601-58df-40e9-a5ec-e66aed11625b"/>
    <xsd:import namespace="821ab64e-2cd8-47f9-aa11-8cd9fa442d06"/>
    <xsd:element name="properties">
      <xsd:complexType>
        <xsd:sequence>
          <xsd:element name="documentManagement">
            <xsd:complexType>
              <xsd:all>
                <xsd:element ref="ns2:SharedWithUsers" minOccurs="0"/>
                <xsd:element ref="ns2:SharingHintHash"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3ef601-58df-40e9-a5ec-e66aed11625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element name="TaxCatchAll" ma:index="26" nillable="true" ma:displayName="Taxonomy Catch All Column" ma:hidden="true" ma:list="{5efcbc8a-e9bd-495e-8f41-27de6b6b4edc}" ma:internalName="TaxCatchAll" ma:showField="CatchAllData" ma:web="013ef601-58df-40e9-a5ec-e66aed11625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21ab64e-2cd8-47f9-aa11-8cd9fa442d06"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4a439d87-3418-4a6f-90ec-d82ec39711b1"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9E846F-84EE-44AC-8C40-3E39B5AE247E}">
  <ds:schemaRefs>
    <ds:schemaRef ds:uri="http://purl.org/dc/terms/"/>
    <ds:schemaRef ds:uri="821ab64e-2cd8-47f9-aa11-8cd9fa442d06"/>
    <ds:schemaRef ds:uri="http://schemas.microsoft.com/office/2006/documentManagement/types"/>
    <ds:schemaRef ds:uri="http://schemas.microsoft.com/office/infopath/2007/PartnerControls"/>
    <ds:schemaRef ds:uri="http://www.w3.org/XML/1998/namespace"/>
    <ds:schemaRef ds:uri="http://purl.org/dc/elements/1.1/"/>
    <ds:schemaRef ds:uri="http://schemas.openxmlformats.org/package/2006/metadata/core-properties"/>
    <ds:schemaRef ds:uri="013ef601-58df-40e9-a5ec-e66aed11625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363917D7-E113-4500-B00E-D7C0BE3F6E7F}">
  <ds:schemaRefs>
    <ds:schemaRef ds:uri="http://schemas.microsoft.com/sharepoint/v3/contenttype/forms"/>
  </ds:schemaRefs>
</ds:datastoreItem>
</file>

<file path=customXml/itemProps3.xml><?xml version="1.0" encoding="utf-8"?>
<ds:datastoreItem xmlns:ds="http://schemas.openxmlformats.org/officeDocument/2006/customXml" ds:itemID="{C243D13D-5850-4390-B394-F78C865DA1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3ef601-58df-40e9-a5ec-e66aed11625b"/>
    <ds:schemaRef ds:uri="821ab64e-2cd8-47f9-aa11-8cd9fa442d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26</vt:i4>
      </vt:variant>
    </vt:vector>
  </HeadingPairs>
  <TitlesOfParts>
    <vt:vector size="34" baseType="lpstr">
      <vt:lpstr>Introduction</vt:lpstr>
      <vt:lpstr>1 Review details</vt:lpstr>
      <vt:lpstr>2a Enter data - Est. Volumes</vt:lpstr>
      <vt:lpstr>2b Enter data - Actual weight</vt:lpstr>
      <vt:lpstr>3 Waste Report</vt:lpstr>
      <vt:lpstr>4 Bin Size Guide</vt:lpstr>
      <vt:lpstr>Lists - Hidden</vt:lpstr>
      <vt:lpstr>Summary - Hidden</vt:lpstr>
      <vt:lpstr>Batteries</vt:lpstr>
      <vt:lpstr>Bottles</vt:lpstr>
      <vt:lpstr>Card</vt:lpstr>
      <vt:lpstr>Cartridge</vt:lpstr>
      <vt:lpstr>ComRecover</vt:lpstr>
      <vt:lpstr>ComRecycle</vt:lpstr>
      <vt:lpstr>ConPap</vt:lpstr>
      <vt:lpstr>ConPaper</vt:lpstr>
      <vt:lpstr>Custom1</vt:lpstr>
      <vt:lpstr>Custom2</vt:lpstr>
      <vt:lpstr>Custom3</vt:lpstr>
      <vt:lpstr>Custom4</vt:lpstr>
      <vt:lpstr>Custom5</vt:lpstr>
      <vt:lpstr>Dry</vt:lpstr>
      <vt:lpstr>EwasteRecover</vt:lpstr>
      <vt:lpstr>EwasteRecycle</vt:lpstr>
      <vt:lpstr>FOGO</vt:lpstr>
      <vt:lpstr>HardDispose</vt:lpstr>
      <vt:lpstr>HardRecover</vt:lpstr>
      <vt:lpstr>HardReuse</vt:lpstr>
      <vt:lpstr>Ladfill</vt:lpstr>
      <vt:lpstr>Lights</vt:lpstr>
      <vt:lpstr>Paper</vt:lpstr>
      <vt:lpstr>PaperCard</vt:lpstr>
      <vt:lpstr>SoftRecover</vt:lpstr>
      <vt:lpstr>SoftRecycle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 Heinrich</dc:creator>
  <cp:lastModifiedBy>Kristian Le Gallou</cp:lastModifiedBy>
  <cp:lastPrinted>2018-07-24T04:45:24Z</cp:lastPrinted>
  <dcterms:created xsi:type="dcterms:W3CDTF">2018-05-14T00:54:01Z</dcterms:created>
  <dcterms:modified xsi:type="dcterms:W3CDTF">2023-06-19T04:41:45Z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0x010100A0F59724343E44409709E3E0688EC116</vt:lpwstr>
  </property>
  <property fmtid="{D5CDD505-2E9C-101B-9397-08002B2CF9AE}" pid="3" name="MediaServiceImageTags">
    <vt:lpwstr/>
  </property>
</Properties>
</file>